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805" tabRatio="817" activeTab="9"/>
  </bookViews>
  <sheets>
    <sheet name="мун.зад." sheetId="1" r:id="rId1"/>
    <sheet name="проверка 2020" sheetId="4" r:id="rId2"/>
    <sheet name="проверка 2021 " sheetId="12" r:id="rId3"/>
    <sheet name="проверка2022" sheetId="13" r:id="rId4"/>
    <sheet name="прил.1+2" sheetId="5" r:id="rId5"/>
    <sheet name="прил.3" sheetId="6" r:id="rId6"/>
    <sheet name="прил.4" sheetId="7" r:id="rId7"/>
    <sheet name="прил.5" sheetId="9" r:id="rId8"/>
    <sheet name="прил.6" sheetId="10" r:id="rId9"/>
    <sheet name="свод " sheetId="8" r:id="rId10"/>
  </sheets>
  <externalReferences>
    <externalReference r:id="rId11"/>
  </externalReferences>
  <definedNames>
    <definedName name="_xlnm.Print_Titles" localSheetId="9">'свод '!$7:$7</definedName>
    <definedName name="_xlnm.Print_Area" localSheetId="0">мун.зад.!$A$1:$R$256</definedName>
    <definedName name="_xlnm.Print_Area" localSheetId="4">'прил.1+2'!$A$1:$I$102</definedName>
    <definedName name="_xlnm.Print_Area" localSheetId="5">прил.3!$A$1:$G$113</definedName>
    <definedName name="_xlnm.Print_Area" localSheetId="7">прил.5!$A$1:$I$34</definedName>
    <definedName name="_xlnm.Print_Area" localSheetId="8">прил.6!$A$1:$G$38</definedName>
    <definedName name="_xlnm.Print_Area" localSheetId="9">'свод '!$A$1:$K$138</definedName>
  </definedNames>
  <calcPr calcId="144525"/>
</workbook>
</file>

<file path=xl/sharedStrings.xml><?xml version="1.0" encoding="utf-8"?>
<sst xmlns="http://schemas.openxmlformats.org/spreadsheetml/2006/main" count="1010" uniqueCount="406">
  <si>
    <t>УТВЕРЖДАЮ</t>
  </si>
  <si>
    <t>Начальник Управления образования</t>
  </si>
  <si>
    <t>города Пензы</t>
  </si>
  <si>
    <r>
      <rPr>
        <u/>
        <sz val="11"/>
        <color indexed="8"/>
        <rFont val="Times New Roman"/>
        <charset val="204"/>
      </rPr>
      <t xml:space="preserve">                                    </t>
    </r>
    <r>
      <rPr>
        <sz val="11"/>
        <color indexed="8"/>
        <rFont val="Times New Roman"/>
        <charset val="204"/>
      </rPr>
      <t>Ю.А.Голодяев</t>
    </r>
  </si>
  <si>
    <r>
      <rPr>
        <u/>
        <sz val="11"/>
        <color theme="1"/>
        <rFont val="Times New Roman"/>
        <charset val="204"/>
      </rPr>
      <t>"</t>
    </r>
    <r>
      <rPr>
        <u/>
        <sz val="11"/>
        <color indexed="8"/>
        <rFont val="Times New Roman"/>
        <charset val="204"/>
      </rPr>
      <t xml:space="preserve"> _09___  "   ____01___   2020 г.</t>
    </r>
  </si>
  <si>
    <t>МУНИЦИПАЛЬНОЕ ЗАДАНИЕ № 2D295</t>
  </si>
  <si>
    <t>на 2020 год и на плановый период 2021 и 2022 годов</t>
  </si>
  <si>
    <t>Коды</t>
  </si>
  <si>
    <t>Форма по ОКУД</t>
  </si>
  <si>
    <t>0506001</t>
  </si>
  <si>
    <t xml:space="preserve"> Дата начала действия</t>
  </si>
  <si>
    <t>Наименование муниципального учреждения (обособленного подразделения)</t>
  </si>
  <si>
    <r>
      <rPr>
        <sz val="10"/>
        <color theme="1"/>
        <rFont val="Times New Roman"/>
        <charset val="204"/>
      </rPr>
      <t xml:space="preserve"> Дата окончания действия </t>
    </r>
    <r>
      <rPr>
        <vertAlign val="superscript"/>
        <sz val="10"/>
        <color theme="1"/>
        <rFont val="Times New Roman"/>
        <charset val="204"/>
      </rPr>
      <t>1</t>
    </r>
  </si>
  <si>
    <t>Муниципальное автономное дошкольное образовательное учреждение Центр развития ребенка - детский сад №150 города Пензы "Алый парус"</t>
  </si>
  <si>
    <t xml:space="preserve"> Код по Сводному реестру</t>
  </si>
  <si>
    <t>Виды деятельности муниципального учреждения (обособленного подразделения)</t>
  </si>
  <si>
    <t>по ОКВЭД</t>
  </si>
  <si>
    <t>85.11</t>
  </si>
  <si>
    <t>Образование и наука</t>
  </si>
  <si>
    <t>Вид муниципального учреждения</t>
  </si>
  <si>
    <t>Дошкольная образовательная организация</t>
  </si>
  <si>
    <t>(указывается вид муниципального учреждения из общероссийского базового  перечня или регионального перечня)</t>
  </si>
  <si>
    <t>Часть 1. Сведения об оказываемых муниципальных услугах &lt;2&gt;</t>
  </si>
  <si>
    <r>
      <rPr>
        <sz val="11"/>
        <color theme="1"/>
        <rFont val="Times New Roman"/>
        <charset val="204"/>
      </rPr>
      <t xml:space="preserve">Раздел </t>
    </r>
    <r>
      <rPr>
        <u/>
        <sz val="11"/>
        <color indexed="8"/>
        <rFont val="Times New Roman"/>
        <charset val="204"/>
      </rPr>
      <t xml:space="preserve">   1    .</t>
    </r>
  </si>
  <si>
    <t>1. Наименование муниципальной услуги</t>
  </si>
  <si>
    <t>Реализация основных общеобразовательных программ</t>
  </si>
  <si>
    <t>Код по общероссийскому базовому перечню или региональному</t>
  </si>
  <si>
    <t>БВ 24</t>
  </si>
  <si>
    <t>дошкольного образования</t>
  </si>
  <si>
    <t>2. Категории потребителей муниципальной услуги</t>
  </si>
  <si>
    <t>Физические лица в возрасте до 8 лет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</si>
  <si>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</si>
  <si>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 &lt;3&gt;:</t>
  </si>
  <si>
    <r>
      <rPr>
        <sz val="8"/>
        <color theme="1"/>
        <rFont val="Times New Roman"/>
        <charset val="204"/>
      </rPr>
      <t xml:space="preserve">Уникальный номер реестровой записи </t>
    </r>
    <r>
      <rPr>
        <vertAlign val="superscript"/>
        <sz val="8"/>
        <color theme="1"/>
        <rFont val="Times New Roman"/>
        <charset val="204"/>
      </rPr>
      <t>4</t>
    </r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</si>
  <si>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</si>
  <si>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</si>
  <si>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>Показатель качества муниципальной услуги</t>
  </si>
  <si>
    <t>Значение показателя качества муниципальной услуги</t>
  </si>
  <si>
    <r>
      <rPr>
        <sz val="8"/>
        <rFont val="Times New Roman"/>
        <charset val="204"/>
      </rP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8"/>
        <rFont val="Times New Roman"/>
        <charset val="204"/>
      </rPr>
      <t>6</t>
    </r>
  </si>
  <si>
    <r>
      <rPr>
        <sz val="8"/>
        <color theme="1"/>
        <rFont val="Times New Roman"/>
        <charset val="204"/>
      </rPr>
      <t xml:space="preserve">(наименование показателя </t>
    </r>
    <r>
      <rPr>
        <vertAlign val="superscript"/>
        <sz val="8"/>
        <color theme="1"/>
        <rFont val="Times New Roman"/>
        <charset val="204"/>
      </rPr>
      <t>4</t>
    </r>
    <r>
      <rPr>
        <sz val="8"/>
        <color theme="1"/>
        <rFont val="Times New Roman"/>
        <charset val="204"/>
      </rPr>
      <t>)</t>
    </r>
  </si>
  <si>
    <r>
      <rPr>
        <sz val="8"/>
        <color theme="1"/>
        <rFont val="Times New Roman"/>
        <charset val="204"/>
      </rPr>
      <t xml:space="preserve">Наименование показателя </t>
    </r>
    <r>
      <rPr>
        <vertAlign val="superscript"/>
        <sz val="8"/>
        <color theme="1"/>
        <rFont val="Times New Roman"/>
        <charset val="204"/>
      </rPr>
      <t>4</t>
    </r>
  </si>
  <si>
    <t xml:space="preserve">единица измерения </t>
  </si>
  <si>
    <t>2020 год (очередной финансовый год)</t>
  </si>
  <si>
    <t>2021 год (1-й год планового периода)</t>
  </si>
  <si>
    <t>2022 год (2-й год планового периода)</t>
  </si>
  <si>
    <t>в процентах</t>
  </si>
  <si>
    <t>в абсолютных величинах</t>
  </si>
  <si>
    <r>
      <rPr>
        <sz val="8"/>
        <color theme="1"/>
        <rFont val="Times New Roman"/>
        <charset val="204"/>
      </rPr>
      <t xml:space="preserve">наименование </t>
    </r>
    <r>
      <rPr>
        <vertAlign val="superscript"/>
        <sz val="8"/>
        <color theme="1"/>
        <rFont val="Times New Roman"/>
        <charset val="204"/>
      </rPr>
      <t>4</t>
    </r>
  </si>
  <si>
    <r>
      <rPr>
        <sz val="8"/>
        <color theme="1"/>
        <rFont val="Times New Roman"/>
        <charset val="204"/>
      </rPr>
      <t xml:space="preserve">код по ОКЕИ </t>
    </r>
    <r>
      <rPr>
        <vertAlign val="superscript"/>
        <sz val="8"/>
        <color theme="1"/>
        <rFont val="Times New Roman"/>
        <charset val="204"/>
      </rPr>
      <t>5</t>
    </r>
  </si>
  <si>
    <t>801011О.99.0БВ24ДМ62000</t>
  </si>
  <si>
    <t>не указано</t>
  </si>
  <si>
    <t>От 1 года до 3 лет</t>
  </si>
  <si>
    <t>очная</t>
  </si>
  <si>
    <t>группа полного дня</t>
  </si>
  <si>
    <t>001. Доля детей в возрасте 1 - 3 лет, получающих дошкольную образовательную услугу в муниципальных образовательных учреждениях, в общей численности детей в возрасте 1 - 3 лет;002. 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дошкольных образовательных учреждений</t>
  </si>
  <si>
    <t>001. Процент; 002. Процент.</t>
  </si>
  <si>
    <t>001. 744; 002. 744.</t>
  </si>
  <si>
    <t>801011О.99.БВ24ДН82000</t>
  </si>
  <si>
    <t>От 3 лет до 8 лет</t>
  </si>
  <si>
    <t>001. Доля детей в возрасте 3 - 8 лет, получающих дошкольную образовательную услугу в муниципальных образовательных учреждениях, в общей численности детей в возрасте 3 - 8 лет;002. 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дошкольных образовательных учреждений</t>
  </si>
  <si>
    <t>3.2. Показатели, характеризующие объем муниципальной услуги:</t>
  </si>
  <si>
    <t>Уникальный номер реестровой записи</t>
  </si>
  <si>
    <t>Показатель объема муниципальной услуги</t>
  </si>
  <si>
    <t>Значение показателя объема муниципальной услуги</t>
  </si>
  <si>
    <r>
      <rPr>
        <sz val="8"/>
        <rFont val="Times New Roman"/>
        <charset val="204"/>
      </rPr>
      <t xml:space="preserve">Размер платы (цена, тариф) </t>
    </r>
    <r>
      <rPr>
        <vertAlign val="superscript"/>
        <sz val="8"/>
        <rFont val="Times New Roman"/>
        <charset val="204"/>
      </rPr>
      <t>7</t>
    </r>
  </si>
  <si>
    <r>
      <rPr>
        <sz val="8"/>
        <rFont val="Times New Roman"/>
        <charset val="204"/>
      </rPr>
      <t xml:space="preserve">Допустимые (возможные) отклонения от установленных показателей объема муниципальной услуги </t>
    </r>
    <r>
      <rPr>
        <vertAlign val="superscript"/>
        <sz val="8"/>
        <rFont val="Times New Roman"/>
        <charset val="204"/>
      </rPr>
      <t>6</t>
    </r>
  </si>
  <si>
    <r>
      <rPr>
        <sz val="8"/>
        <rFont val="Times New Roman"/>
        <charset val="204"/>
      </rPr>
      <t xml:space="preserve">Наименование показателя </t>
    </r>
    <r>
      <rPr>
        <vertAlign val="superscript"/>
        <sz val="8"/>
        <rFont val="Times New Roman"/>
        <charset val="204"/>
      </rPr>
      <t>4</t>
    </r>
  </si>
  <si>
    <t>единица измерения</t>
  </si>
  <si>
    <r>
      <rPr>
        <sz val="8"/>
        <rFont val="Times New Roman"/>
        <charset val="204"/>
      </rPr>
      <t xml:space="preserve">наименование </t>
    </r>
    <r>
      <rPr>
        <vertAlign val="superscript"/>
        <sz val="8"/>
        <rFont val="Times New Roman"/>
        <charset val="204"/>
      </rPr>
      <t>4</t>
    </r>
  </si>
  <si>
    <r>
      <rPr>
        <sz val="8"/>
        <rFont val="Times New Roman"/>
        <charset val="204"/>
      </rPr>
      <t xml:space="preserve">код по ОКЕИ </t>
    </r>
    <r>
      <rPr>
        <vertAlign val="superscript"/>
        <sz val="8"/>
        <rFont val="Times New Roman"/>
        <charset val="204"/>
      </rPr>
      <t>5</t>
    </r>
  </si>
  <si>
    <t>число обучающихся</t>
  </si>
  <si>
    <t>человек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</si>
  <si>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</si>
  <si>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</si>
  <si>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</si>
  <si>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</si>
  <si>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</si>
  <si>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</si>
  <si>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</si>
  <si>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Закон Пензенской области</t>
  </si>
  <si>
    <t>Законодательное собрание Пензенской области</t>
  </si>
  <si>
    <t>3443-ЗПО</t>
  </si>
  <si>
    <t>"Об установлении нормативов финансового обеспечения образовательной деятельности в Пензенской области на 2020 год"</t>
  </si>
  <si>
    <t>3332-ЗПО</t>
  </si>
  <si>
    <t>О внесении изменений в закон Пензенской области "О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Федерации, переданными для осуществления органамгосударственной власти Пензенской области"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</si>
  <si>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</si>
  <si>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</si>
  <si>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Федеральный закон от 29.12.2012 №273-ФЗ «Об образовании в Российской Федерации» (с изменениями и дополнениями)</t>
  </si>
  <si>
    <t>Федеральный закон от 06.10.2003 №131-ФЗ «Об общих принципах организации местного самоуправления в Российской Федрации» (с изменениями и дополнениями)</t>
  </si>
  <si>
    <t xml:space="preserve"> 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образования»; (с изменениями и дополнениями)</t>
  </si>
  <si>
    <t xml:space="preserve"> 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образования»; (с изменениями и дополнениями)</t>
  </si>
  <si>
    <t xml:space="preserve"> Постановление Главного государственного санитарного врача Российской Федерации от 15.05.2013 г. № 26 «Об утверждении СанПиН 2.4.1.3049-13 «Санитарно эпидемиологические требования к устройству, содержанию и организации режима работы дошкольных образовательных организаций» (с изменениями и дополнениями)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</si>
  <si>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</si>
  <si>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</si>
  <si>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</si>
  <si>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</si>
  <si>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</si>
  <si>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на официальном сайте учреждения</t>
  </si>
  <si>
    <t xml:space="preserve">1. Общие сведения (полное наименование образовательного учреждения, тип и вид 
учреждения,  адрес образовательного учреждения; Ф.И.О. руководителя 
образовательного учреждения; контактная информация для связи с образовательным 
учрежде
нием (телефоны,  факс, адрес электронной почты, адрес сайта);
и.т.д.);
2. Документы (устав образовательного учреждения;  программа развития 
образовательного учреждения;  другие локальные нормативные акты);
3. Учебная и воспитательная деятельность (образова
тельная программа учреждения, 
учебный план; содержание реализуемой образовательной программы и 
дополнительных образовательных программ; и.т.д.);
4.Отчетность (отчет о деятельности образовательного учреждения за год, 
включающий в себя сведения об основных р
езультатах деятельности 
образовательного учреждения);
5.Информация для поступающих в образовательное учреждение (правила приема в 
образовательное учреждение; информация о зачислении в образовательное 
учреждение).
6.Другая информация о деятельности образова
тельного учреждения (участие 
образовательного учреждения в проектах; дополнительные занятия; </t>
  </si>
  <si>
    <t>По мере изменения данных</t>
  </si>
  <si>
    <r>
      <rPr>
        <sz val="11"/>
        <color theme="1"/>
        <rFont val="Times New Roman"/>
        <charset val="204"/>
      </rPr>
      <t xml:space="preserve">Раздел </t>
    </r>
    <r>
      <rPr>
        <u/>
        <sz val="11"/>
        <color indexed="8"/>
        <rFont val="Times New Roman"/>
        <charset val="204"/>
      </rPr>
      <t xml:space="preserve">   2      .</t>
    </r>
  </si>
  <si>
    <t>Присмотр и уход</t>
  </si>
  <si>
    <t>БВ 19</t>
  </si>
  <si>
    <t>3.1. Показатели, характеризующие качество муниципальной услуги &lt;2&gt;:</t>
  </si>
  <si>
    <t>853211О.99.0БВ19АА50000</t>
  </si>
  <si>
    <t>Обучающиеся, за исключением детей-инвалидов и инвалидов</t>
  </si>
  <si>
    <t>Доля детей в возрасте 1 - 3 лет, получающих услугу по присмотру и уходу, в общей численности детей в возрасте 1 - 3 лет</t>
  </si>
  <si>
    <t>Процент</t>
  </si>
  <si>
    <t>853211О.99.БВ19АА56000</t>
  </si>
  <si>
    <t>Доля детей в возрасте 3 - 8 лет, получающих услугу по присмотру и уходу, в общей численности детей в возрасте 3 - 8 лет</t>
  </si>
  <si>
    <t>853211О.99.0.БВ19АА08000</t>
  </si>
  <si>
    <t>дети-инвалиды</t>
  </si>
  <si>
    <t>853211О.99.0.БВ19АА14000</t>
  </si>
  <si>
    <t>число детей</t>
  </si>
  <si>
    <t>Приказ</t>
  </si>
  <si>
    <t>Управление образования города Пензы</t>
  </si>
  <si>
    <t>Об утверждении методики формирования муниципального задания и определения базовых нормативных затрат на оказание муниципальных услуг (выполнение работ) в муниципальных учреждениях, функции и полномочия учредителя в отношении которых осуществляет Управление образования города Пензы.</t>
  </si>
  <si>
    <t>Часть 2. Сведения о выполняемых работах &lt;1&gt;</t>
  </si>
  <si>
    <r>
      <rPr>
        <sz val="11"/>
        <color theme="1"/>
        <rFont val="Times New Roman"/>
        <charset val="204"/>
      </rPr>
      <t xml:space="preserve">Раздел </t>
    </r>
    <r>
      <rPr>
        <u/>
        <sz val="11"/>
        <color indexed="8"/>
        <rFont val="Times New Roman"/>
        <charset val="204"/>
      </rPr>
      <t xml:space="preserve">           .</t>
    </r>
  </si>
  <si>
    <t>1. Наименование работы</t>
  </si>
  <si>
    <t>Уникальный номер</t>
  </si>
  <si>
    <t>по базовому (отраслевому)</t>
  </si>
  <si>
    <t>2. Категории потребителей работы</t>
  </si>
  <si>
    <t>перечню</t>
  </si>
  <si>
    <t>3. Показатели, характеризующие объем и (или) качество работы:</t>
  </si>
  <si>
    <t>3.1. Показатели, характеризующие качество работы &lt;2&gt;: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</si>
  <si>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</si>
  <si>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</si>
  <si>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</si>
  <si>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Значение показателя качества работы</t>
  </si>
  <si>
    <t>(наименование показателя)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</si>
  <si>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</si>
  <si>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</si>
  <si>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</si>
  <si>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</si>
  <si>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</si>
  <si>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код</t>
  </si>
  <si>
    <t xml:space="preserve">допустимые (возможные) отклонения от установленных показателей качества работы, в пределах которых муниципальное задание считается </t>
  </si>
  <si>
    <t>выполненным (процентов)</t>
  </si>
  <si>
    <t>3.2. Показатели, характеризующие объем работы:</t>
  </si>
  <si>
    <t>Показатель, характеризующий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</si>
  <si>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</si>
  <si>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</si>
  <si>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наименование на оказание муниципальной услуги (работы)</t>
  </si>
  <si>
    <t xml:space="preserve">допустимые (возможные) отклонения от установленных показателей объема работы, в пределах которых муниципальное задание считается </t>
  </si>
  <si>
    <t>&lt;1&gt;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</t>
  </si>
  <si>
    <t>услуги (услуг) раздельно по каждой из муниципальных услуг с указанием порядкового номера раздела</t>
  </si>
  <si>
    <t>&lt;2&gt; Заполняется при установлении показателей, характеризующих качество муниципальной услуги, в ведомственном перечне муниципальных услуг и работ</t>
  </si>
  <si>
    <t>Часть 2. Прочие сведения о муниципальном задании &lt;8&gt;</t>
  </si>
  <si>
    <t>1. Основание (условия и порядок) для досрочного прекращения выполнения муниципального задания</t>
  </si>
  <si>
    <t>Задание может быть досрочно прекращено (полностью или частично) в случаях:
- реорганизации или ликвидации муниципального бюджетного дошкольного образовательного учреждения ;
- изменения типа учреждения;
- исключение муниципальной услуги из перечня муниципальных услуг;
-  иных  случаях,  когда учреждение  не  обеспечивает  выполнение задания  или  имеются  основания  предполагать,  что  задание  не будет выполнено  в 
полном объеме или в соответствии с иными установленными требованиями.</t>
  </si>
  <si>
    <t>2. Иная информация, необходимая для выполнения (контроля за выполнением) муниципального задания</t>
  </si>
  <si>
    <t xml:space="preserve">Согласно  п.  15  приказа  Минфина  России  от  21.07.2011  No  86-н  «Об  утверждении  порядка  предоставления  информации  государственным 
(муниципальным) учреждением ее размещения на официальном сайте в сети интернет и ведения указанного сайта» муниципальное задание и отчет о 
выполнении   муниципального   задания   размещаются   на  официальном   сайте   в   информационно-телекоммуникационной   сети   «Интернет» 
</t>
  </si>
  <si>
    <t>3. Порядок контроля за выполнением муниципального задани:я</t>
  </si>
  <si>
    <t>Форма контроля</t>
  </si>
  <si>
    <t>Периодичность</t>
  </si>
  <si>
    <t>Органы местного самоуправления, осуществляющие контроль за выполнением муниципального задания</t>
  </si>
  <si>
    <t>Выездная проверка</t>
  </si>
  <si>
    <t>В соответствии с приказом Управления образования города Пензы</t>
  </si>
  <si>
    <t>4. Требования к отчетности о выполнении муниципального задания</t>
  </si>
  <si>
    <t>в соответсвии с постановлением Администрации города Пензы №2147 от 14.12.2015 г. "О порядке формирования муниципального задания на оказание муниципальных услуг (выполнение работ) в отношении муниципальных учреждений и финансового обеспечения выполнения муниципального задания"</t>
  </si>
  <si>
    <t>4.1. Периодичность представления отчетов о выполнении муниципального задания</t>
  </si>
  <si>
    <t>1 раз в год</t>
  </si>
  <si>
    <t>4.2. Сроки представления отчетов о выполнении муниципального задания</t>
  </si>
  <si>
    <t>не позднее 1 февраля финансового года, следующего за отчетным</t>
  </si>
  <si>
    <t>4.2.1. Сроки представления предварительного отчета о выполнении муниципального задания           до 01 ноября текущего года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</si>
  <si>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</si>
  <si>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 &lt;9&gt;</t>
  </si>
  <si>
    <t>&lt;1&gt; Заполняется в случае досрочного прекращения выполнения муниципального задания.</t>
  </si>
  <si>
    <t>&lt;2&gt; Формируется при установлении муниципального 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</si>
  <si>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&lt;3&gt;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и единицы их измерения.</t>
  </si>
  <si>
    <t>&lt;4&gt; Заполняется в соответствии с общероссийскими базовыми перечнями или региональными перечнями.</t>
  </si>
  <si>
    <t>&lt;5&gt; Заполняется в соответствии с кодом, указанным в общероссийском базовом перечне или региональном перечне (при наличии).</t>
  </si>
  <si>
    <t>&lt;6&gt;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случае, если единицей объема работы является работа в целом, показатель не указывается.</t>
  </si>
  <si>
    <t>&lt;7&gt;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</si>
  <si>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&lt;8&gt; Заполняется в целом по муниципальному заданию.</t>
  </si>
  <si>
    <t>&lt;9&gt;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</si>
  <si>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Проверка</t>
  </si>
  <si>
    <t>от 1 до 3</t>
  </si>
  <si>
    <t>норматив</t>
  </si>
  <si>
    <t>доведение</t>
  </si>
  <si>
    <t xml:space="preserve"> </t>
  </si>
  <si>
    <t>повышение квалификации</t>
  </si>
  <si>
    <t>Реализация основных общеобразовательных программ дошкольного образования</t>
  </si>
  <si>
    <t>кол-во детей</t>
  </si>
  <si>
    <t>кол-во детей на 01.01.2020</t>
  </si>
  <si>
    <t>кол-во детей на 01.09.2020</t>
  </si>
  <si>
    <t>с 3 до 8</t>
  </si>
  <si>
    <t>КОСГУ</t>
  </si>
  <si>
    <t>смета</t>
  </si>
  <si>
    <t>отклонение</t>
  </si>
  <si>
    <t>среднегодовое на 2018 год</t>
  </si>
  <si>
    <t>субвенция</t>
  </si>
  <si>
    <t>приним</t>
  </si>
  <si>
    <t>не приним</t>
  </si>
  <si>
    <t>226 (119)</t>
  </si>
  <si>
    <t>норматив на 1 ребенка</t>
  </si>
  <si>
    <t>340 (119)</t>
  </si>
  <si>
    <t>в том числе инвалиды</t>
  </si>
  <si>
    <t>инвалиды на 01.01.2020</t>
  </si>
  <si>
    <t>инвалиды на 01.09.2020</t>
  </si>
  <si>
    <t>местный</t>
  </si>
  <si>
    <t>211 (М, R)</t>
  </si>
  <si>
    <t>213 (М, R)</t>
  </si>
  <si>
    <t>341,343,344,346,353</t>
  </si>
  <si>
    <t>226(119)</t>
  </si>
  <si>
    <t>норматив на 1 ребенка (согласно приказа)</t>
  </si>
  <si>
    <t>Коррект. коэф.</t>
  </si>
  <si>
    <t>Отклонение не должно превышать 100 руб.</t>
  </si>
  <si>
    <t>кол-во детей на 01.01.2021</t>
  </si>
  <si>
    <t>кол-во детей на 01.09.2021</t>
  </si>
  <si>
    <t>среднегодовое на 2019 год</t>
  </si>
  <si>
    <t>343,344,345,346,349,353</t>
  </si>
  <si>
    <t>кол-во детей на 01.01.2022</t>
  </si>
  <si>
    <t>кол-во детей на 01.09.2022</t>
  </si>
  <si>
    <t>среднегодовое на 2020 год</t>
  </si>
  <si>
    <t>приложение 1</t>
  </si>
  <si>
    <t>Расчет норматива затрат, непосредственно связанных с оказанием муниципальной услуги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</si>
  <si>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Пензенской области)</t>
  </si>
  <si>
    <t>кол-во педагогических ставок</t>
  </si>
  <si>
    <t>Оклад с учетом k специфики</t>
  </si>
  <si>
    <t>k стимулирования</t>
  </si>
  <si>
    <t>количество месяцев</t>
  </si>
  <si>
    <t>k увеличения</t>
  </si>
  <si>
    <t>начисления на оплату труда</t>
  </si>
  <si>
    <t>Субвенция</t>
  </si>
  <si>
    <t>ФЗП в мес</t>
  </si>
  <si>
    <t>ставки</t>
  </si>
  <si>
    <t>без стимуляции</t>
  </si>
  <si>
    <t>стимуляция</t>
  </si>
  <si>
    <t>всего</t>
  </si>
  <si>
    <t xml:space="preserve">воспитатели </t>
  </si>
  <si>
    <t>прочие</t>
  </si>
  <si>
    <t>Норматив   на   приобретение   материальных   запасов, потребляемых в процессе оказания муниципальной услуги</t>
  </si>
  <si>
    <t xml:space="preserve">количество </t>
  </si>
  <si>
    <t>Расходы  на   приобретение   материальных   запасов, потребляемых в процессе оказания муниципальной услуги</t>
  </si>
  <si>
    <t>учебные расходы</t>
  </si>
  <si>
    <t>доп. проф. образование педагогических работников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</si>
  <si>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Пензенской области) .</t>
  </si>
  <si>
    <t xml:space="preserve">Норматив   </t>
  </si>
  <si>
    <t xml:space="preserve">Расходы  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</si>
  <si>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города Пензы)</t>
  </si>
  <si>
    <t>норматив на а компенсационные выплаты по уходу за ребенком</t>
  </si>
  <si>
    <t>количество работников, имеющих право на получение компенсационных выплат по уходу за ребенком</t>
  </si>
  <si>
    <t>расходы на на получение компенсационных выплат по уходу за ребенком</t>
  </si>
  <si>
    <t>Субсидия</t>
  </si>
  <si>
    <t>Заведующий</t>
  </si>
  <si>
    <t>Измайлова Н.В.</t>
  </si>
  <si>
    <t xml:space="preserve">вопитатели </t>
  </si>
  <si>
    <t>Гл.бухгалтер</t>
  </si>
  <si>
    <t>Родионова Н.А.</t>
  </si>
  <si>
    <t>приложение 2</t>
  </si>
  <si>
    <t>Расчет норматива затрат, непосредственно  не связанных с оказанием муниципальной услуги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</si>
  <si>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</si>
  <si>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кол-во ставок</t>
  </si>
  <si>
    <t>выхлдное пособие и компенсация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</si>
  <si>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</si>
  <si>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>Расходы на повышение оплаты труда работникам (М)</t>
  </si>
  <si>
    <t>Расходы на повышение оплаты труда работникам (R)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</si>
  <si>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города Пензы) .</t>
  </si>
  <si>
    <t>приложение 3</t>
  </si>
  <si>
    <t xml:space="preserve">Нормативные затраты на содержание недвижимого имущества </t>
  </si>
  <si>
    <t>стоимость</t>
  </si>
  <si>
    <t>количество ед. услуг</t>
  </si>
  <si>
    <t xml:space="preserve">нормативные затраты </t>
  </si>
  <si>
    <t>вывоз мусора</t>
  </si>
  <si>
    <t>дератизация</t>
  </si>
  <si>
    <t>тех.обслуживание кнопки тревожной сигнализации</t>
  </si>
  <si>
    <t>АПС</t>
  </si>
  <si>
    <t>тех.обслуживание домофона</t>
  </si>
  <si>
    <t>Кап.ремонт</t>
  </si>
  <si>
    <t>ТО электро сетей, электроустоновок</t>
  </si>
  <si>
    <t>тех.обслуживание радиомодема</t>
  </si>
  <si>
    <t>тех.обслуживание теплосчетчиков</t>
  </si>
  <si>
    <t>Поверка теплосчетчиков ХВС,ГВС</t>
  </si>
  <si>
    <t>Т/о видеонаблюдение</t>
  </si>
  <si>
    <t>замер сопротивления</t>
  </si>
  <si>
    <t>содержание и ремонт общедомового имущества</t>
  </si>
  <si>
    <t>Промывка, опрессовка</t>
  </si>
  <si>
    <t>Лабораторные исследования</t>
  </si>
  <si>
    <t>Очистка кровли</t>
  </si>
  <si>
    <t>Заправка и ремонт картриджей</t>
  </si>
  <si>
    <t>Ремонтные работы</t>
  </si>
  <si>
    <t>Тревожная кнопка</t>
  </si>
  <si>
    <t>Утилизация отходов (ртутосодержащие лампы)</t>
  </si>
  <si>
    <t>Заправка огнетушителей</t>
  </si>
  <si>
    <t>ТО огнетушителей</t>
  </si>
  <si>
    <t>Противопожарные мероприятия:</t>
  </si>
  <si>
    <t>Поверка пожарных гидрантов</t>
  </si>
  <si>
    <t>Испытания пожарных кранов</t>
  </si>
  <si>
    <t>Проверка работоспособности источника внутреннего противопожарного водопровода</t>
  </si>
  <si>
    <t>Оценка качества огнезащитных работ</t>
  </si>
  <si>
    <t>Испытание электрозащиты</t>
  </si>
  <si>
    <t>Обслуживание системы пожаротушения</t>
  </si>
  <si>
    <t>Техническое обслуживание видеонаблюдения</t>
  </si>
  <si>
    <t xml:space="preserve">Нормативные затраты на приобретение услуг связи и приобретение транспортных услуг </t>
  </si>
  <si>
    <t>приобретение услуг связи (абонентская плата)</t>
  </si>
  <si>
    <t>поминутная оплата</t>
  </si>
  <si>
    <t>интернет</t>
  </si>
  <si>
    <t>итого</t>
  </si>
  <si>
    <t xml:space="preserve">приобретение транспортных услуг </t>
  </si>
  <si>
    <t>Объем прочих затрат на общехозяйственные нужды</t>
  </si>
  <si>
    <t xml:space="preserve"> объем прочих затрат на общехозяйственные нужды</t>
  </si>
  <si>
    <t>Затраты на хоз.нужды</t>
  </si>
  <si>
    <t>Прочие нормативные затраты на общехозяйственные нужды</t>
  </si>
  <si>
    <t>Медосмотр всего:</t>
  </si>
  <si>
    <t>*</t>
  </si>
  <si>
    <t>женщины</t>
  </si>
  <si>
    <t>мужчины</t>
  </si>
  <si>
    <t>маммография</t>
  </si>
  <si>
    <t>рентген</t>
  </si>
  <si>
    <t>1С сопровождение</t>
  </si>
  <si>
    <t>Электронная отчетность</t>
  </si>
  <si>
    <t>Подписка</t>
  </si>
  <si>
    <t>Курсы повышения квалификации</t>
  </si>
  <si>
    <t>Договор подряда медперсонала в бвссейне</t>
  </si>
  <si>
    <t>организация питания по принципу аутсорсинга</t>
  </si>
  <si>
    <t>Физическая охрана (ЧОП)</t>
  </si>
  <si>
    <t>Госпошлина</t>
  </si>
  <si>
    <t>приложение 4</t>
  </si>
  <si>
    <t xml:space="preserve">Нормативные затраты на содержание движимого имущества </t>
  </si>
  <si>
    <t>Тех.обслуживание</t>
  </si>
  <si>
    <t>Текущий ремонт</t>
  </si>
  <si>
    <t>Нормативные затраты на материальные запасы</t>
  </si>
  <si>
    <t>ГСМ</t>
  </si>
  <si>
    <t>Зап.части</t>
  </si>
  <si>
    <t>Лакокрасочные материалы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</si>
  <si>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</si>
  <si>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тариф</t>
  </si>
  <si>
    <t>объем потребления</t>
  </si>
  <si>
    <t>нормативные затраты на коммунальные услуги</t>
  </si>
  <si>
    <t>Автострахование</t>
  </si>
  <si>
    <t xml:space="preserve"> Прочие нормативные затраты на содержание  движимого имущества</t>
  </si>
  <si>
    <t>Нормативные затраты на коммунальные услуги</t>
  </si>
  <si>
    <t>ед.измерения</t>
  </si>
  <si>
    <t>тариф (руб.)</t>
  </si>
  <si>
    <t>нормативные затраты на коммунальные услуги с учетом увеличения</t>
  </si>
  <si>
    <t>k увеличения нормативных затрат на коммунальные услуги</t>
  </si>
  <si>
    <t>холодное водоснабжение</t>
  </si>
  <si>
    <t>м3</t>
  </si>
  <si>
    <t>водоотведение</t>
  </si>
  <si>
    <t>горячее водоснабжение</t>
  </si>
  <si>
    <t>Объем компонента тепловой энергии в горячей воде</t>
  </si>
  <si>
    <t>гКал</t>
  </si>
  <si>
    <t>тепловая  энергия</t>
  </si>
  <si>
    <t xml:space="preserve">электрическая энергия </t>
  </si>
  <si>
    <t>кВат</t>
  </si>
  <si>
    <t>приложение 6</t>
  </si>
  <si>
    <t>Нормативные затраты на уплату налогов</t>
  </si>
  <si>
    <t>налогооблагаемая база</t>
  </si>
  <si>
    <t>ставка налога</t>
  </si>
  <si>
    <t xml:space="preserve">Налог на имущество </t>
  </si>
  <si>
    <t xml:space="preserve">Налог на землю  </t>
  </si>
  <si>
    <t>транспортный налог</t>
  </si>
  <si>
    <t>экологический сбор</t>
  </si>
  <si>
    <t>гос.пошлина</t>
  </si>
  <si>
    <t>k увеличения нормативных затрат на содеожание имущества</t>
  </si>
  <si>
    <t>Определение нормативных затрат на оказание муниципальной услуги</t>
  </si>
  <si>
    <t xml:space="preserve">Наименование муниципального учреждения: </t>
  </si>
  <si>
    <t>Наименование муниципальной услуги</t>
  </si>
  <si>
    <t>Реализация основных общеобразовательных программ дошкольного образования (от 1 года до 3 лет)</t>
  </si>
  <si>
    <t>Реализация основных общеобразовательных программ дошкольного образования (от 3 лет до 8 лет)</t>
  </si>
  <si>
    <t xml:space="preserve">Присмотр и уход </t>
  </si>
  <si>
    <t>Присмотр и уход (от 1 года до 3 лет)</t>
  </si>
  <si>
    <t>Присмотр и уход (от 3 лет до 8 лет)</t>
  </si>
  <si>
    <t>Присмотр и уход (дети-инвалиды от 1 года до 3 лет)</t>
  </si>
  <si>
    <t>Присмотр и уход (дети-инвалиды от 3 лет до 8 лет)</t>
  </si>
  <si>
    <t>Объем приобретаемых муниципальных услуг (выполняемых работ) в стоимостных показателях</t>
  </si>
  <si>
    <t>объем муниципальных услуг в натуральных показателях</t>
  </si>
  <si>
    <t xml:space="preserve">Наименование приобретаемых муниципальных услуг </t>
  </si>
  <si>
    <t>Единица измерения</t>
  </si>
  <si>
    <t>Общий объем приобретаемых муниципальных услуг (выполняемых работ) (руб)</t>
  </si>
  <si>
    <t>Норматив финансовых затрат на единицу приобретаемой муниципальной услуги (выполняемой работы) (руб.)</t>
  </si>
  <si>
    <t>1. Затраты, непосредственно связанные с оказанием муниципальной услуги. (приложение1)</t>
  </si>
  <si>
    <t>затраты на оплату труда  персонала, принимающего непосредственное участие в оказании муниципальной услуги</t>
  </si>
  <si>
    <t>руб.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</si>
  <si>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</si>
  <si>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Нормативные   затраты   на   приобретение   материальных   запасов, потребляемых в процессе оказания муниципальной услуги</t>
  </si>
  <si>
    <t xml:space="preserve"> затраты на доп. проф. образование педагогических работников</t>
  </si>
  <si>
    <t>затраты на компенсационные выплаты по уходу за ребенком</t>
  </si>
  <si>
    <t>1.1 В том числе затраты, непосредственно связанные с оказанием муниципальной услуги. (за счет бюджета Пензенской области)</t>
  </si>
  <si>
    <t>1.2 В том числе затраты, непосредственно связанные с оказанием муниципальной услуги. (за счет бюджета города Пензы)</t>
  </si>
  <si>
    <t>2. Затраты, на общехозяйственные нужды.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</si>
  <si>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</si>
  <si>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затраты на оплату труда  персонала, не принимающего непосредственное участие в оказании муниципальной услуги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</si>
  <si>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</si>
  <si>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</si>
  <si>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2.1.2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</si>
  <si>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2.2 Затраты на содержание недвижимого имущества (приложение3)</t>
  </si>
  <si>
    <t>2.3. Затраты на приобретение услуг связи (приложение3)</t>
  </si>
  <si>
    <t xml:space="preserve">приобретение услуг связи </t>
  </si>
  <si>
    <t>2.4.Прочие нормативные затраты на общехозяйственные нужды (приложение3)</t>
  </si>
  <si>
    <t>Курсы повышния квалификаци</t>
  </si>
  <si>
    <t xml:space="preserve">Всего </t>
  </si>
  <si>
    <t>2.5 Нормативные затраты на техническое обслуживание и текущий ремонт объектов движимого имущества (приложение 4)</t>
  </si>
  <si>
    <t>2.6 Нормативные затраты на материальные запасы (приложение3)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</si>
  <si>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</si>
  <si>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2.8 Прочие нормативные затраты на содержание  движимого имущества (приложение 4)</t>
  </si>
  <si>
    <t>2.9. Приобретение коммунальных услуг (приложение 5)</t>
  </si>
  <si>
    <t>электрическая энергия</t>
  </si>
  <si>
    <t>Всего затраты на общехозяйственные нужды</t>
  </si>
  <si>
    <t>3 Нормативные затраты на содержание имущества  (приложение 6)</t>
  </si>
  <si>
    <t>- налог на имущество</t>
  </si>
  <si>
    <t>- налог на землю</t>
  </si>
  <si>
    <t>Всего по учреждению</t>
  </si>
  <si>
    <t>При распечатывании свода столбцы C, D, G необходимо скрывать!!!!</t>
  </si>
</sst>
</file>

<file path=xl/styles.xml><?xml version="1.0" encoding="utf-8"?>
<styleSheet xmlns="http://schemas.openxmlformats.org/spreadsheetml/2006/main">
  <numFmts count="9">
    <numFmt numFmtId="176" formatCode="_-* #,##0\ &quot;₽&quot;_-;\-* #,##0\ &quot;₽&quot;_-;_-* \-\ &quot;₽&quot;_-;_-@_-"/>
    <numFmt numFmtId="41" formatCode="_-* #,##0_-;\-* #,##0_-;_-* &quot;-&quot;_-;_-@_-"/>
    <numFmt numFmtId="177" formatCode="_-* #,##0.00_р_._-;\-* #,##0.00_р_._-;_-* &quot;-&quot;??_р_._-;_-@_-"/>
    <numFmt numFmtId="178" formatCode="_-* #,##0.00\ &quot;₽&quot;_-;\-* #,##0.00\ &quot;₽&quot;_-;_-* \-??\ &quot;₽&quot;_-;_-@_-"/>
    <numFmt numFmtId="179" formatCode="#,##0.000"/>
    <numFmt numFmtId="180" formatCode="0.000"/>
    <numFmt numFmtId="181" formatCode="0.000000"/>
    <numFmt numFmtId="182" formatCode="#,##0.00000"/>
    <numFmt numFmtId="183" formatCode="#,##0.0000000"/>
  </numFmts>
  <fonts count="69">
    <font>
      <sz val="11"/>
      <color theme="1"/>
      <name val="Calibri"/>
      <charset val="204"/>
      <scheme val="minor"/>
    </font>
    <font>
      <sz val="10"/>
      <name val="Arial Cyr"/>
      <charset val="204"/>
    </font>
    <font>
      <b/>
      <u/>
      <sz val="14"/>
      <name val="Times New Roman"/>
      <charset val="204"/>
    </font>
    <font>
      <sz val="12"/>
      <name val="Times New Roman"/>
      <charset val="204"/>
    </font>
    <font>
      <b/>
      <i/>
      <sz val="12"/>
      <name val="Times New Roman"/>
      <charset val="204"/>
    </font>
    <font>
      <sz val="8"/>
      <name val="Times New Roman"/>
      <charset val="204"/>
    </font>
    <font>
      <u/>
      <sz val="14"/>
      <name val="Times New Roman"/>
      <charset val="204"/>
    </font>
    <font>
      <sz val="11"/>
      <name val="Times New Roman"/>
      <charset val="204"/>
    </font>
    <font>
      <sz val="14"/>
      <name val="Times New Roman"/>
      <charset val="204"/>
    </font>
    <font>
      <u/>
      <sz val="11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sz val="24"/>
      <name val="Arial Cyr"/>
      <charset val="204"/>
    </font>
    <font>
      <sz val="10"/>
      <color theme="0"/>
      <name val="Arial Cyr"/>
      <charset val="204"/>
    </font>
    <font>
      <sz val="11"/>
      <color indexed="8"/>
      <name val="Times New Roman"/>
      <charset val="204"/>
    </font>
    <font>
      <u/>
      <sz val="12"/>
      <color theme="0"/>
      <name val="Verdana"/>
      <charset val="204"/>
    </font>
    <font>
      <sz val="9"/>
      <color theme="0"/>
      <name val="Arial Cyr"/>
      <charset val="204"/>
    </font>
    <font>
      <sz val="10"/>
      <color theme="0"/>
      <name val="Times New Roman"/>
      <charset val="204"/>
    </font>
    <font>
      <sz val="9"/>
      <name val="Arial Cyr"/>
      <charset val="204"/>
    </font>
    <font>
      <u/>
      <sz val="12"/>
      <name val="Verdana"/>
      <charset val="204"/>
    </font>
    <font>
      <sz val="10"/>
      <color theme="1"/>
      <name val="Arial Cyr"/>
      <charset val="204"/>
    </font>
    <font>
      <b/>
      <sz val="10"/>
      <name val="Times New Roman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u/>
      <sz val="14"/>
      <color indexed="8"/>
      <name val="Times New Roman"/>
      <charset val="204"/>
    </font>
    <font>
      <u/>
      <sz val="11"/>
      <color indexed="8"/>
      <name val="Times New Roman"/>
      <charset val="204"/>
    </font>
    <font>
      <sz val="8"/>
      <color indexed="8"/>
      <name val="Times New Roman"/>
      <charset val="204"/>
    </font>
    <font>
      <sz val="10"/>
      <color indexed="8"/>
      <name val="Times New Roman"/>
      <charset val="204"/>
    </font>
    <font>
      <b/>
      <sz val="11"/>
      <color indexed="8"/>
      <name val="Times New Roman"/>
      <charset val="204"/>
    </font>
    <font>
      <sz val="10"/>
      <color theme="1"/>
      <name val="Times New Roman"/>
      <charset val="204"/>
    </font>
    <font>
      <sz val="16"/>
      <name val="Times New Roman"/>
      <charset val="204"/>
    </font>
    <font>
      <u/>
      <sz val="10"/>
      <name val="Times New Roman"/>
      <charset val="204"/>
    </font>
    <font>
      <sz val="10"/>
      <color rgb="FFFF0000"/>
      <name val="Times New Roman"/>
      <charset val="204"/>
    </font>
    <font>
      <sz val="10"/>
      <color indexed="10"/>
      <name val="Times New Roman"/>
      <charset val="204"/>
    </font>
    <font>
      <u/>
      <sz val="14"/>
      <name val="Arial Cyr"/>
      <charset val="204"/>
    </font>
    <font>
      <b/>
      <i/>
      <sz val="10"/>
      <name val="Arial Cyr"/>
      <charset val="204"/>
    </font>
    <font>
      <sz val="11"/>
      <color theme="1"/>
      <name val="Times New Roman"/>
      <charset val="204"/>
    </font>
    <font>
      <sz val="8"/>
      <color theme="1"/>
      <name val="Times New Roman"/>
      <charset val="204"/>
    </font>
    <font>
      <sz val="11"/>
      <color rgb="FFFF0000"/>
      <name val="Times New Roman"/>
      <charset val="204"/>
    </font>
    <font>
      <sz val="9"/>
      <color theme="1"/>
      <name val="Times New Roman"/>
      <charset val="204"/>
    </font>
    <font>
      <b/>
      <i/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u/>
      <sz val="11"/>
      <color theme="1"/>
      <name val="Times New Roman"/>
      <charset val="204"/>
    </font>
    <font>
      <sz val="8"/>
      <color rgb="FFFF0000"/>
      <name val="Times New Roman"/>
      <charset val="204"/>
    </font>
    <font>
      <sz val="7.5"/>
      <color theme="1"/>
      <name val="Times New Roman"/>
      <charset val="204"/>
    </font>
    <font>
      <sz val="9"/>
      <name val="Times New Roman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vertAlign val="superscript"/>
      <sz val="10"/>
      <color theme="1"/>
      <name val="Times New Roman"/>
      <charset val="204"/>
    </font>
    <font>
      <vertAlign val="superscript"/>
      <sz val="8"/>
      <color theme="1"/>
      <name val="Times New Roman"/>
      <charset val="204"/>
    </font>
    <font>
      <vertAlign val="superscript"/>
      <sz val="8"/>
      <name val="Times New Roman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0" fontId="46" fillId="16" borderId="0" applyNumberFormat="0" applyBorder="0" applyAlignment="0" applyProtection="0">
      <alignment vertical="center"/>
    </xf>
    <xf numFmtId="176" fontId="48" fillId="0" borderId="0" applyFont="0" applyFill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178" fontId="48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46" fillId="23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18" borderId="54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8" fillId="30" borderId="56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51" applyNumberFormat="0" applyFill="0" applyAlignment="0" applyProtection="0">
      <alignment vertical="center"/>
    </xf>
    <xf numFmtId="0" fontId="49" fillId="0" borderId="51" applyNumberFormat="0" applyFill="0" applyAlignment="0" applyProtection="0">
      <alignment vertical="center"/>
    </xf>
    <xf numFmtId="0" fontId="61" fillId="0" borderId="5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31" borderId="52" applyNumberFormat="0" applyAlignment="0" applyProtection="0">
      <alignment vertical="center"/>
    </xf>
    <xf numFmtId="0" fontId="63" fillId="33" borderId="58" applyNumberFormat="0" applyAlignment="0" applyProtection="0">
      <alignment vertical="center"/>
    </xf>
    <xf numFmtId="0" fontId="50" fillId="18" borderId="52" applyNumberFormat="0" applyAlignment="0" applyProtection="0">
      <alignment vertical="center"/>
    </xf>
    <xf numFmtId="0" fontId="56" fillId="0" borderId="55" applyNumberFormat="0" applyFill="0" applyAlignment="0" applyProtection="0">
      <alignment vertical="center"/>
    </xf>
    <xf numFmtId="0" fontId="64" fillId="35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1" fillId="0" borderId="0"/>
    <xf numFmtId="0" fontId="46" fillId="39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</cellStyleXfs>
  <cellXfs count="540">
    <xf numFmtId="0" fontId="0" fillId="0" borderId="0" xfId="0"/>
    <xf numFmtId="0" fontId="1" fillId="2" borderId="0" xfId="42" applyFont="1" applyFill="1"/>
    <xf numFmtId="0" fontId="1" fillId="0" borderId="0" xfId="42" applyFont="1" applyFill="1"/>
    <xf numFmtId="0" fontId="1" fillId="3" borderId="0" xfId="42" applyFont="1" applyFill="1"/>
    <xf numFmtId="0" fontId="1" fillId="4" borderId="0" xfId="42" applyFont="1" applyFill="1"/>
    <xf numFmtId="0" fontId="1" fillId="5" borderId="0" xfId="42" applyFont="1" applyFill="1"/>
    <xf numFmtId="0" fontId="1" fillId="6" borderId="0" xfId="42" applyFont="1" applyFill="1"/>
    <xf numFmtId="0" fontId="1" fillId="0" borderId="0" xfId="42" applyFont="1"/>
    <xf numFmtId="0" fontId="2" fillId="0" borderId="0" xfId="42" applyFont="1" applyAlignment="1">
      <alignment horizontal="center"/>
    </xf>
    <xf numFmtId="0" fontId="3" fillId="0" borderId="1" xfId="42" applyFont="1" applyBorder="1" applyAlignment="1" applyProtection="1">
      <alignment horizontal="center" vertical="center" wrapText="1"/>
      <protection locked="0"/>
    </xf>
    <xf numFmtId="0" fontId="4" fillId="0" borderId="1" xfId="42" applyFont="1" applyBorder="1" applyAlignment="1" applyProtection="1">
      <alignment horizontal="center" vertical="center" wrapText="1"/>
      <protection locked="0"/>
    </xf>
    <xf numFmtId="0" fontId="4" fillId="0" borderId="2" xfId="42" applyFont="1" applyBorder="1" applyAlignment="1">
      <alignment horizontal="left" vertical="center"/>
    </xf>
    <xf numFmtId="0" fontId="4" fillId="0" borderId="3" xfId="42" applyFont="1" applyBorder="1" applyAlignment="1">
      <alignment horizontal="left" vertical="center"/>
    </xf>
    <xf numFmtId="0" fontId="4" fillId="0" borderId="4" xfId="42" applyFont="1" applyBorder="1" applyAlignment="1">
      <alignment horizontal="left" vertical="center"/>
    </xf>
    <xf numFmtId="0" fontId="5" fillId="0" borderId="5" xfId="42" applyFont="1" applyBorder="1" applyAlignment="1">
      <alignment wrapText="1"/>
    </xf>
    <xf numFmtId="0" fontId="5" fillId="0" borderId="5" xfId="42" applyFont="1" applyFill="1" applyBorder="1" applyAlignment="1">
      <alignment wrapText="1"/>
    </xf>
    <xf numFmtId="0" fontId="6" fillId="0" borderId="6" xfId="42" applyFont="1" applyBorder="1" applyAlignment="1">
      <alignment horizontal="center" wrapText="1"/>
    </xf>
    <xf numFmtId="0" fontId="7" fillId="0" borderId="5" xfId="42" applyFont="1" applyBorder="1" applyAlignment="1">
      <alignment horizontal="center" wrapText="1"/>
    </xf>
    <xf numFmtId="0" fontId="8" fillId="0" borderId="5" xfId="42" applyFont="1" applyBorder="1" applyAlignment="1">
      <alignment horizontal="center" wrapText="1"/>
    </xf>
    <xf numFmtId="0" fontId="1" fillId="0" borderId="5" xfId="42" applyFont="1" applyBorder="1"/>
    <xf numFmtId="0" fontId="9" fillId="0" borderId="0" xfId="42" applyFont="1" applyBorder="1" applyAlignment="1">
      <alignment horizontal="center" wrapText="1"/>
    </xf>
    <xf numFmtId="0" fontId="6" fillId="0" borderId="0" xfId="42" applyFont="1" applyBorder="1" applyAlignment="1">
      <alignment horizontal="center" wrapText="1"/>
    </xf>
    <xf numFmtId="0" fontId="5" fillId="0" borderId="5" xfId="42" applyFont="1" applyBorder="1" applyAlignment="1">
      <alignment vertical="top" wrapText="1"/>
    </xf>
    <xf numFmtId="0" fontId="6" fillId="0" borderId="7" xfId="42" applyFont="1" applyBorder="1" applyAlignment="1">
      <alignment horizontal="center" vertical="top" wrapText="1"/>
    </xf>
    <xf numFmtId="0" fontId="6" fillId="0" borderId="0" xfId="42" applyFont="1" applyBorder="1" applyAlignment="1">
      <alignment horizontal="center" vertical="top" wrapText="1"/>
    </xf>
    <xf numFmtId="0" fontId="5" fillId="0" borderId="5" xfId="42" applyNumberFormat="1" applyFont="1" applyBorder="1" applyAlignment="1">
      <alignment vertical="top" wrapText="1"/>
    </xf>
    <xf numFmtId="0" fontId="10" fillId="0" borderId="5" xfId="42" applyNumberFormat="1" applyFont="1" applyBorder="1" applyAlignment="1">
      <alignment horizontal="center" vertical="top" wrapText="1"/>
    </xf>
    <xf numFmtId="4" fontId="10" fillId="0" borderId="5" xfId="42" applyNumberFormat="1" applyFont="1" applyBorder="1" applyAlignment="1">
      <alignment horizontal="center" vertical="top" wrapText="1"/>
    </xf>
    <xf numFmtId="0" fontId="5" fillId="0" borderId="5" xfId="42" applyNumberFormat="1" applyFont="1" applyBorder="1" applyAlignment="1">
      <alignment wrapText="1"/>
    </xf>
    <xf numFmtId="0" fontId="5" fillId="0" borderId="5" xfId="42" applyNumberFormat="1" applyFont="1" applyFill="1" applyBorder="1" applyAlignment="1">
      <alignment wrapText="1"/>
    </xf>
    <xf numFmtId="0" fontId="5" fillId="7" borderId="5" xfId="42" applyNumberFormat="1" applyFont="1" applyFill="1" applyBorder="1" applyAlignment="1">
      <alignment wrapText="1"/>
    </xf>
    <xf numFmtId="0" fontId="10" fillId="7" borderId="5" xfId="42" applyNumberFormat="1" applyFont="1" applyFill="1" applyBorder="1" applyAlignment="1">
      <alignment horizontal="center" vertical="top" wrapText="1"/>
    </xf>
    <xf numFmtId="4" fontId="10" fillId="7" borderId="5" xfId="42" applyNumberFormat="1" applyFont="1" applyFill="1" applyBorder="1" applyAlignment="1">
      <alignment horizontal="center" vertical="top" wrapText="1"/>
    </xf>
    <xf numFmtId="0" fontId="6" fillId="0" borderId="7" xfId="42" applyNumberFormat="1" applyFont="1" applyBorder="1" applyAlignment="1">
      <alignment horizontal="center" vertical="top" wrapText="1"/>
    </xf>
    <xf numFmtId="0" fontId="6" fillId="0" borderId="0" xfId="42" applyNumberFormat="1" applyFont="1" applyBorder="1" applyAlignment="1">
      <alignment horizontal="center" vertical="top" wrapText="1"/>
    </xf>
    <xf numFmtId="4" fontId="10" fillId="0" borderId="5" xfId="42" applyNumberFormat="1" applyFont="1" applyFill="1" applyBorder="1" applyAlignment="1">
      <alignment horizontal="center" vertical="top"/>
    </xf>
    <xf numFmtId="4" fontId="10" fillId="8" borderId="5" xfId="42" applyNumberFormat="1" applyFont="1" applyFill="1" applyBorder="1" applyAlignment="1">
      <alignment horizontal="center" vertical="top" wrapText="1"/>
    </xf>
    <xf numFmtId="4" fontId="10" fillId="0" borderId="5" xfId="42" applyNumberFormat="1" applyFont="1" applyFill="1" applyBorder="1" applyAlignment="1">
      <alignment horizontal="center" vertical="top" wrapText="1"/>
    </xf>
    <xf numFmtId="0" fontId="5" fillId="2" borderId="5" xfId="42" applyNumberFormat="1" applyFont="1" applyFill="1" applyBorder="1" applyAlignment="1">
      <alignment wrapText="1"/>
    </xf>
    <xf numFmtId="0" fontId="10" fillId="2" borderId="5" xfId="42" applyNumberFormat="1" applyFont="1" applyFill="1" applyBorder="1" applyAlignment="1">
      <alignment horizontal="center" vertical="top" wrapText="1"/>
    </xf>
    <xf numFmtId="4" fontId="10" fillId="2" borderId="5" xfId="42" applyNumberFormat="1" applyFont="1" applyFill="1" applyBorder="1" applyAlignment="1">
      <alignment horizontal="center" vertical="top" wrapText="1"/>
    </xf>
    <xf numFmtId="0" fontId="5" fillId="0" borderId="0" xfId="42" applyNumberFormat="1" applyFont="1" applyFill="1" applyBorder="1" applyAlignment="1">
      <alignment wrapText="1"/>
    </xf>
    <xf numFmtId="0" fontId="10" fillId="0" borderId="0" xfId="42" applyNumberFormat="1" applyFont="1" applyFill="1" applyBorder="1" applyAlignment="1">
      <alignment horizontal="center" vertical="top" wrapText="1"/>
    </xf>
    <xf numFmtId="0" fontId="1" fillId="0" borderId="0" xfId="42" applyNumberFormat="1" applyFont="1" applyFill="1"/>
    <xf numFmtId="0" fontId="3" fillId="0" borderId="0" xfId="42" applyNumberFormat="1" applyFont="1" applyBorder="1" applyAlignment="1">
      <alignment horizontal="center" vertical="top" wrapText="1"/>
    </xf>
    <xf numFmtId="0" fontId="5" fillId="2" borderId="5" xfId="42" applyNumberFormat="1" applyFont="1" applyFill="1" applyBorder="1" applyAlignment="1">
      <alignment vertical="top" wrapText="1"/>
    </xf>
    <xf numFmtId="4" fontId="10" fillId="0" borderId="5" xfId="42" applyNumberFormat="1" applyFont="1" applyBorder="1" applyAlignment="1">
      <alignment horizontal="center" vertical="top"/>
    </xf>
    <xf numFmtId="4" fontId="10" fillId="2" borderId="5" xfId="42" applyNumberFormat="1" applyFont="1" applyFill="1" applyBorder="1" applyAlignment="1">
      <alignment horizontal="center" vertical="top"/>
    </xf>
    <xf numFmtId="0" fontId="5" fillId="0" borderId="0" xfId="42" applyNumberFormat="1" applyFont="1" applyFill="1" applyBorder="1" applyAlignment="1">
      <alignment vertical="top" wrapText="1"/>
    </xf>
    <xf numFmtId="0" fontId="3" fillId="0" borderId="7" xfId="42" applyNumberFormat="1" applyFont="1" applyBorder="1" applyAlignment="1">
      <alignment horizontal="center" vertical="top" wrapText="1"/>
    </xf>
    <xf numFmtId="0" fontId="10" fillId="0" borderId="5" xfId="42" applyNumberFormat="1" applyFont="1" applyBorder="1" applyAlignment="1">
      <alignment wrapText="1"/>
    </xf>
    <xf numFmtId="0" fontId="10" fillId="0" borderId="5" xfId="42" applyNumberFormat="1" applyFont="1" applyFill="1" applyBorder="1" applyAlignment="1">
      <alignment wrapText="1"/>
    </xf>
    <xf numFmtId="0" fontId="10" fillId="8" borderId="5" xfId="42" applyNumberFormat="1" applyFont="1" applyFill="1" applyBorder="1" applyAlignment="1">
      <alignment horizontal="center" vertical="top" wrapText="1"/>
    </xf>
    <xf numFmtId="0" fontId="10" fillId="8" borderId="5" xfId="42" applyNumberFormat="1" applyFont="1" applyFill="1" applyBorder="1" applyAlignment="1">
      <alignment wrapText="1"/>
    </xf>
    <xf numFmtId="0" fontId="10" fillId="2" borderId="5" xfId="42" applyNumberFormat="1" applyFont="1" applyFill="1" applyBorder="1" applyAlignment="1">
      <alignment vertical="top" wrapText="1"/>
    </xf>
    <xf numFmtId="0" fontId="10" fillId="0" borderId="5" xfId="42" applyNumberFormat="1" applyFont="1" applyBorder="1" applyAlignment="1">
      <alignment horizontal="left" vertical="top" wrapText="1"/>
    </xf>
    <xf numFmtId="0" fontId="10" fillId="0" borderId="5" xfId="42" applyNumberFormat="1" applyFont="1" applyBorder="1" applyAlignment="1">
      <alignment vertical="top" wrapText="1"/>
    </xf>
    <xf numFmtId="0" fontId="10" fillId="8" borderId="5" xfId="42" applyNumberFormat="1" applyFont="1" applyFill="1" applyBorder="1" applyAlignment="1">
      <alignment vertical="top" wrapText="1"/>
    </xf>
    <xf numFmtId="0" fontId="10" fillId="3" borderId="5" xfId="42" applyNumberFormat="1" applyFont="1" applyFill="1" applyBorder="1" applyAlignment="1">
      <alignment vertical="top" wrapText="1"/>
    </xf>
    <xf numFmtId="4" fontId="10" fillId="3" borderId="5" xfId="42" applyNumberFormat="1" applyFont="1" applyFill="1" applyBorder="1" applyAlignment="1">
      <alignment horizontal="center" vertical="top" wrapText="1"/>
    </xf>
    <xf numFmtId="0" fontId="3" fillId="0" borderId="0" xfId="42" applyNumberFormat="1" applyFont="1" applyBorder="1" applyAlignment="1">
      <alignment horizontal="center" wrapText="1"/>
    </xf>
    <xf numFmtId="0" fontId="10" fillId="4" borderId="5" xfId="42" applyNumberFormat="1" applyFont="1" applyFill="1" applyBorder="1" applyAlignment="1">
      <alignment vertical="top" wrapText="1"/>
    </xf>
    <xf numFmtId="0" fontId="3" fillId="0" borderId="0" xfId="42" applyNumberFormat="1" applyFont="1" applyBorder="1" applyAlignment="1">
      <alignment horizontal="center"/>
    </xf>
    <xf numFmtId="4" fontId="10" fillId="4" borderId="5" xfId="42" applyNumberFormat="1" applyFont="1" applyFill="1" applyBorder="1" applyAlignment="1">
      <alignment horizontal="center" vertical="top" wrapText="1"/>
    </xf>
    <xf numFmtId="0" fontId="10" fillId="0" borderId="5" xfId="42" applyNumberFormat="1" applyFont="1" applyBorder="1"/>
    <xf numFmtId="0" fontId="10" fillId="6" borderId="5" xfId="42" applyNumberFormat="1" applyFont="1" applyFill="1" applyBorder="1" applyAlignment="1">
      <alignment vertical="top" wrapText="1"/>
    </xf>
    <xf numFmtId="0" fontId="10" fillId="6" borderId="5" xfId="42" applyNumberFormat="1" applyFont="1" applyFill="1" applyBorder="1" applyAlignment="1">
      <alignment horizontal="center" vertical="top" wrapText="1"/>
    </xf>
    <xf numFmtId="4" fontId="10" fillId="6" borderId="5" xfId="42" applyNumberFormat="1" applyFont="1" applyFill="1" applyBorder="1" applyAlignment="1">
      <alignment horizontal="center" vertical="top" wrapText="1"/>
    </xf>
    <xf numFmtId="0" fontId="10" fillId="7" borderId="5" xfId="42" applyNumberFormat="1" applyFont="1" applyFill="1" applyBorder="1" applyAlignment="1">
      <alignment vertical="top" wrapText="1"/>
    </xf>
    <xf numFmtId="0" fontId="11" fillId="0" borderId="5" xfId="42" applyNumberFormat="1" applyFont="1" applyFill="1" applyBorder="1" applyAlignment="1">
      <alignment vertical="top" wrapText="1"/>
    </xf>
    <xf numFmtId="0" fontId="1" fillId="0" borderId="5" xfId="42" applyNumberFormat="1" applyFont="1" applyBorder="1"/>
    <xf numFmtId="4" fontId="11" fillId="0" borderId="5" xfId="42" applyNumberFormat="1" applyFont="1" applyBorder="1" applyAlignment="1">
      <alignment horizontal="center" vertical="top"/>
    </xf>
    <xf numFmtId="0" fontId="1" fillId="0" borderId="0" xfId="42" applyNumberFormat="1" applyFont="1"/>
    <xf numFmtId="0" fontId="1" fillId="0" borderId="0" xfId="42" applyNumberFormat="1" applyFont="1" applyAlignment="1">
      <alignment horizontal="center"/>
    </xf>
    <xf numFmtId="0" fontId="1" fillId="0" borderId="0" xfId="42" applyNumberFormat="1" applyAlignment="1"/>
    <xf numFmtId="0" fontId="1" fillId="0" borderId="0" xfId="42" applyNumberFormat="1" applyFont="1" applyBorder="1"/>
    <xf numFmtId="0" fontId="1" fillId="0" borderId="1" xfId="42" applyNumberFormat="1" applyFont="1" applyBorder="1" applyAlignment="1"/>
    <xf numFmtId="0" fontId="1" fillId="0" borderId="0" xfId="42" applyAlignment="1">
      <alignment horizontal="center"/>
    </xf>
    <xf numFmtId="0" fontId="1" fillId="0" borderId="0" xfId="42" applyNumberFormat="1"/>
    <xf numFmtId="0" fontId="1" fillId="0" borderId="1" xfId="42" applyNumberFormat="1" applyFont="1" applyBorder="1"/>
    <xf numFmtId="0" fontId="1" fillId="0" borderId="0" xfId="42" applyFont="1" applyProtection="1">
      <protection locked="0"/>
    </xf>
    <xf numFmtId="4" fontId="1" fillId="0" borderId="0" xfId="42" applyNumberFormat="1" applyFont="1"/>
    <xf numFmtId="4" fontId="1" fillId="0" borderId="0" xfId="42" applyNumberFormat="1" applyFont="1" applyFill="1"/>
    <xf numFmtId="0" fontId="12" fillId="0" borderId="0" xfId="42" applyFont="1"/>
    <xf numFmtId="0" fontId="1" fillId="0" borderId="0" xfId="42" applyFont="1" applyAlignment="1">
      <alignment wrapText="1"/>
    </xf>
    <xf numFmtId="0" fontId="13" fillId="0" borderId="0" xfId="42" applyFont="1"/>
    <xf numFmtId="0" fontId="1" fillId="0" borderId="0" xfId="42"/>
    <xf numFmtId="0" fontId="1" fillId="0" borderId="0" xfId="42" applyAlignment="1">
      <alignment horizontal="left"/>
    </xf>
    <xf numFmtId="0" fontId="6" fillId="0" borderId="0" xfId="42" applyFont="1" applyAlignment="1">
      <alignment horizontal="center"/>
    </xf>
    <xf numFmtId="0" fontId="8" fillId="0" borderId="0" xfId="42" applyFont="1" applyAlignment="1">
      <alignment horizontal="center"/>
    </xf>
    <xf numFmtId="0" fontId="1" fillId="0" borderId="8" xfId="42" applyFont="1" applyBorder="1" applyAlignment="1">
      <alignment wrapText="1"/>
    </xf>
    <xf numFmtId="0" fontId="10" fillId="0" borderId="9" xfId="42" applyFont="1" applyBorder="1" applyAlignment="1">
      <alignment wrapText="1"/>
    </xf>
    <xf numFmtId="0" fontId="10" fillId="0" borderId="9" xfId="42" applyFont="1" applyBorder="1"/>
    <xf numFmtId="0" fontId="10" fillId="0" borderId="10" xfId="42" applyFont="1" applyBorder="1" applyAlignment="1">
      <alignment wrapText="1"/>
    </xf>
    <xf numFmtId="0" fontId="14" fillId="0" borderId="11" xfId="7" applyFont="1" applyBorder="1" applyAlignment="1">
      <alignment wrapText="1"/>
    </xf>
    <xf numFmtId="4" fontId="1" fillId="0" borderId="5" xfId="42" applyNumberFormat="1" applyFill="1" applyBorder="1"/>
    <xf numFmtId="10" fontId="1" fillId="0" borderId="5" xfId="42" applyNumberFormat="1" applyBorder="1"/>
    <xf numFmtId="4" fontId="1" fillId="0" borderId="12" xfId="42" applyNumberFormat="1" applyBorder="1"/>
    <xf numFmtId="0" fontId="14" fillId="0" borderId="13" xfId="7" applyFont="1" applyBorder="1" applyAlignment="1">
      <alignment wrapText="1"/>
    </xf>
    <xf numFmtId="0" fontId="14" fillId="0" borderId="13" xfId="7" applyFont="1" applyBorder="1"/>
    <xf numFmtId="4" fontId="1" fillId="0" borderId="5" xfId="42" applyNumberFormat="1" applyBorder="1"/>
    <xf numFmtId="0" fontId="14" fillId="0" borderId="14" xfId="7" applyFont="1" applyBorder="1"/>
    <xf numFmtId="4" fontId="1" fillId="0" borderId="15" xfId="42" applyNumberFormat="1" applyFill="1" applyBorder="1"/>
    <xf numFmtId="0" fontId="1" fillId="0" borderId="15" xfId="42" applyBorder="1"/>
    <xf numFmtId="4" fontId="1" fillId="0" borderId="16" xfId="42" applyNumberFormat="1" applyBorder="1"/>
    <xf numFmtId="0" fontId="15" fillId="0" borderId="0" xfId="42" applyFont="1" applyAlignment="1">
      <alignment horizontal="center" wrapText="1"/>
    </xf>
    <xf numFmtId="0" fontId="16" fillId="0" borderId="8" xfId="42" applyFont="1" applyBorder="1" applyAlignment="1">
      <alignment wrapText="1"/>
    </xf>
    <xf numFmtId="0" fontId="16" fillId="0" borderId="9" xfId="42" applyFont="1" applyBorder="1" applyAlignment="1">
      <alignment wrapText="1"/>
    </xf>
    <xf numFmtId="0" fontId="13" fillId="0" borderId="9" xfId="42" applyFont="1" applyBorder="1" applyAlignment="1">
      <alignment wrapText="1"/>
    </xf>
    <xf numFmtId="0" fontId="16" fillId="0" borderId="9" xfId="42" applyFont="1" applyBorder="1" applyAlignment="1">
      <alignment horizontal="center" wrapText="1"/>
    </xf>
    <xf numFmtId="0" fontId="13" fillId="0" borderId="10" xfId="42" applyFont="1" applyBorder="1" applyAlignment="1">
      <alignment wrapText="1"/>
    </xf>
    <xf numFmtId="0" fontId="17" fillId="0" borderId="13" xfId="42" applyFont="1" applyBorder="1"/>
    <xf numFmtId="0" fontId="17" fillId="0" borderId="5" xfId="42" applyFont="1" applyBorder="1" applyAlignment="1">
      <alignment horizontal="center"/>
    </xf>
    <xf numFmtId="4" fontId="13" fillId="0" borderId="5" xfId="42" applyNumberFormat="1" applyFont="1" applyBorder="1" applyAlignment="1">
      <alignment horizontal="center" wrapText="1"/>
    </xf>
    <xf numFmtId="0" fontId="13" fillId="0" borderId="5" xfId="42" applyFont="1" applyBorder="1"/>
    <xf numFmtId="4" fontId="13" fillId="0" borderId="12" xfId="42" applyNumberFormat="1" applyFont="1" applyBorder="1"/>
    <xf numFmtId="0" fontId="1" fillId="0" borderId="0" xfId="42" applyAlignment="1"/>
    <xf numFmtId="0" fontId="1" fillId="0" borderId="1" xfId="42" applyFont="1" applyBorder="1"/>
    <xf numFmtId="0" fontId="1" fillId="0" borderId="1" xfId="42" applyFont="1" applyBorder="1" applyAlignment="1"/>
    <xf numFmtId="0" fontId="1" fillId="0" borderId="0" xfId="42" applyFont="1" applyAlignment="1">
      <alignment horizontal="center"/>
    </xf>
    <xf numFmtId="0" fontId="1" fillId="0" borderId="0" xfId="42" applyAlignment="1">
      <alignment wrapText="1"/>
    </xf>
    <xf numFmtId="0" fontId="1" fillId="0" borderId="0" xfId="42" applyFill="1"/>
    <xf numFmtId="0" fontId="18" fillId="0" borderId="0" xfId="42" applyFont="1" applyAlignment="1">
      <alignment wrapText="1"/>
    </xf>
    <xf numFmtId="0" fontId="19" fillId="0" borderId="0" xfId="42" applyFont="1" applyAlignment="1">
      <alignment horizontal="center" wrapText="1"/>
    </xf>
    <xf numFmtId="0" fontId="18" fillId="0" borderId="8" xfId="42" applyFont="1" applyBorder="1" applyAlignment="1">
      <alignment wrapText="1"/>
    </xf>
    <xf numFmtId="0" fontId="18" fillId="0" borderId="9" xfId="42" applyFont="1" applyBorder="1" applyAlignment="1">
      <alignment wrapText="1"/>
    </xf>
    <xf numFmtId="0" fontId="1" fillId="0" borderId="9" xfId="42" applyBorder="1" applyAlignment="1">
      <alignment wrapText="1"/>
    </xf>
    <xf numFmtId="0" fontId="18" fillId="0" borderId="9" xfId="42" applyFont="1" applyBorder="1" applyAlignment="1">
      <alignment horizontal="center" wrapText="1"/>
    </xf>
    <xf numFmtId="0" fontId="10" fillId="0" borderId="13" xfId="42" applyFont="1" applyFill="1" applyBorder="1" applyAlignment="1">
      <alignment wrapText="1"/>
    </xf>
    <xf numFmtId="0" fontId="10" fillId="0" borderId="5" xfId="42" applyFont="1" applyBorder="1" applyAlignment="1">
      <alignment horizontal="center" wrapText="1"/>
    </xf>
    <xf numFmtId="4" fontId="1" fillId="0" borderId="5" xfId="42" applyNumberFormat="1" applyFont="1" applyBorder="1" applyAlignment="1">
      <alignment horizontal="center" wrapText="1"/>
    </xf>
    <xf numFmtId="0" fontId="1" fillId="0" borderId="5" xfId="42" applyFont="1" applyBorder="1" applyAlignment="1">
      <alignment horizontal="right"/>
    </xf>
    <xf numFmtId="4" fontId="1" fillId="4" borderId="5" xfId="42" applyNumberFormat="1" applyFont="1" applyFill="1" applyBorder="1" applyAlignment="1">
      <alignment horizontal="center"/>
    </xf>
    <xf numFmtId="179" fontId="1" fillId="0" borderId="5" xfId="42" applyNumberFormat="1" applyFont="1" applyBorder="1" applyAlignment="1">
      <alignment horizontal="center" wrapText="1"/>
    </xf>
    <xf numFmtId="4" fontId="1" fillId="0" borderId="5" xfId="42" applyNumberFormat="1" applyFont="1" applyFill="1" applyBorder="1" applyAlignment="1">
      <alignment horizontal="center"/>
    </xf>
    <xf numFmtId="0" fontId="10" fillId="0" borderId="13" xfId="42" applyFont="1" applyFill="1" applyBorder="1"/>
    <xf numFmtId="0" fontId="10" fillId="0" borderId="5" xfId="42" applyFont="1" applyFill="1" applyBorder="1" applyAlignment="1">
      <alignment horizontal="center" wrapText="1"/>
    </xf>
    <xf numFmtId="0" fontId="1" fillId="0" borderId="5" xfId="42" applyFont="1" applyFill="1" applyBorder="1" applyAlignment="1">
      <alignment horizontal="right"/>
    </xf>
    <xf numFmtId="180" fontId="1" fillId="0" borderId="5" xfId="42" applyNumberFormat="1" applyFont="1" applyBorder="1" applyAlignment="1">
      <alignment horizontal="center" wrapText="1"/>
    </xf>
    <xf numFmtId="0" fontId="10" fillId="0" borderId="5" xfId="42" applyFont="1" applyFill="1" applyBorder="1" applyAlignment="1">
      <alignment horizontal="center"/>
    </xf>
    <xf numFmtId="0" fontId="10" fillId="0" borderId="14" xfId="42" applyFont="1" applyFill="1" applyBorder="1" applyAlignment="1">
      <alignment wrapText="1"/>
    </xf>
    <xf numFmtId="0" fontId="10" fillId="0" borderId="15" xfId="42" applyFont="1" applyFill="1" applyBorder="1" applyAlignment="1">
      <alignment horizontal="center"/>
    </xf>
    <xf numFmtId="180" fontId="1" fillId="0" borderId="15" xfId="42" applyNumberFormat="1" applyFont="1" applyBorder="1" applyAlignment="1">
      <alignment horizontal="center"/>
    </xf>
    <xf numFmtId="4" fontId="1" fillId="0" borderId="15" xfId="42" applyNumberFormat="1" applyFont="1" applyBorder="1" applyAlignment="1">
      <alignment horizontal="center" wrapText="1"/>
    </xf>
    <xf numFmtId="0" fontId="1" fillId="0" borderId="15" xfId="42" applyFont="1" applyFill="1" applyBorder="1" applyAlignment="1">
      <alignment horizontal="right"/>
    </xf>
    <xf numFmtId="4" fontId="1" fillId="0" borderId="15" xfId="42" applyNumberFormat="1" applyFont="1" applyFill="1" applyBorder="1" applyAlignment="1">
      <alignment horizontal="center"/>
    </xf>
    <xf numFmtId="0" fontId="10" fillId="0" borderId="17" xfId="42" applyFont="1" applyFill="1" applyBorder="1" applyAlignment="1">
      <alignment wrapText="1"/>
    </xf>
    <xf numFmtId="0" fontId="10" fillId="0" borderId="18" xfId="42" applyFont="1" applyFill="1" applyBorder="1" applyAlignment="1">
      <alignment horizontal="center"/>
    </xf>
    <xf numFmtId="180" fontId="1" fillId="0" borderId="18" xfId="42" applyNumberFormat="1" applyFont="1" applyFill="1" applyBorder="1" applyAlignment="1">
      <alignment horizontal="center"/>
    </xf>
    <xf numFmtId="4" fontId="1" fillId="0" borderId="18" xfId="42" applyNumberFormat="1" applyFont="1" applyFill="1" applyBorder="1" applyAlignment="1">
      <alignment horizontal="center" wrapText="1"/>
    </xf>
    <xf numFmtId="0" fontId="1" fillId="0" borderId="18" xfId="42" applyFont="1" applyFill="1" applyBorder="1" applyAlignment="1">
      <alignment horizontal="right"/>
    </xf>
    <xf numFmtId="4" fontId="1" fillId="0" borderId="18" xfId="42" applyNumberFormat="1" applyFont="1" applyFill="1" applyBorder="1" applyAlignment="1">
      <alignment horizontal="center"/>
    </xf>
    <xf numFmtId="2" fontId="1" fillId="0" borderId="15" xfId="42" applyNumberFormat="1" applyFill="1" applyBorder="1" applyAlignment="1">
      <alignment horizontal="center"/>
    </xf>
    <xf numFmtId="0" fontId="1" fillId="0" borderId="15" xfId="42" applyFill="1" applyBorder="1" applyAlignment="1">
      <alignment horizontal="center"/>
    </xf>
    <xf numFmtId="4" fontId="1" fillId="0" borderId="0" xfId="42" applyNumberFormat="1"/>
    <xf numFmtId="0" fontId="1" fillId="0" borderId="10" xfId="42" applyBorder="1" applyAlignment="1">
      <alignment wrapText="1"/>
    </xf>
    <xf numFmtId="4" fontId="1" fillId="0" borderId="12" xfId="42" applyNumberFormat="1" applyFill="1" applyBorder="1"/>
    <xf numFmtId="4" fontId="1" fillId="0" borderId="0" xfId="42" applyNumberFormat="1" applyFill="1" applyBorder="1"/>
    <xf numFmtId="177" fontId="1" fillId="0" borderId="0" xfId="8" applyFont="1" applyFill="1" applyBorder="1" applyAlignment="1">
      <alignment horizontal="center"/>
    </xf>
    <xf numFmtId="177" fontId="1" fillId="0" borderId="0" xfId="8" applyFont="1" applyFill="1" applyBorder="1"/>
    <xf numFmtId="4" fontId="1" fillId="0" borderId="12" xfId="42" applyNumberFormat="1" applyFill="1" applyBorder="1" applyAlignment="1">
      <alignment horizontal="right"/>
    </xf>
    <xf numFmtId="0" fontId="1" fillId="0" borderId="0" xfId="42" applyFill="1" applyBorder="1"/>
    <xf numFmtId="4" fontId="1" fillId="0" borderId="16" xfId="42" applyNumberFormat="1" applyFill="1" applyBorder="1" applyAlignment="1">
      <alignment horizontal="right"/>
    </xf>
    <xf numFmtId="4" fontId="1" fillId="0" borderId="19" xfId="42" applyNumberFormat="1" applyFill="1" applyBorder="1" applyAlignment="1">
      <alignment horizontal="right"/>
    </xf>
    <xf numFmtId="2" fontId="1" fillId="0" borderId="0" xfId="42" applyNumberFormat="1" applyFill="1" applyBorder="1"/>
    <xf numFmtId="0" fontId="1" fillId="0" borderId="0" xfId="42" applyBorder="1"/>
    <xf numFmtId="0" fontId="6" fillId="0" borderId="0" xfId="42" applyFont="1" applyBorder="1" applyAlignment="1">
      <alignment horizontal="center"/>
    </xf>
    <xf numFmtId="0" fontId="1" fillId="0" borderId="0" xfId="42" applyBorder="1" applyAlignment="1">
      <alignment horizontal="center"/>
    </xf>
    <xf numFmtId="0" fontId="1" fillId="0" borderId="8" xfId="42" applyBorder="1" applyAlignment="1">
      <alignment wrapText="1"/>
    </xf>
    <xf numFmtId="0" fontId="10" fillId="4" borderId="13" xfId="42" applyFont="1" applyFill="1" applyBorder="1" applyAlignment="1">
      <alignment vertical="top" wrapText="1"/>
    </xf>
    <xf numFmtId="0" fontId="1" fillId="0" borderId="5" xfId="42" applyBorder="1"/>
    <xf numFmtId="0" fontId="1" fillId="0" borderId="12" xfId="42" applyBorder="1"/>
    <xf numFmtId="0" fontId="1" fillId="0" borderId="14" xfId="42" applyBorder="1" applyAlignment="1">
      <alignment wrapText="1"/>
    </xf>
    <xf numFmtId="0" fontId="1" fillId="0" borderId="16" xfId="42" applyBorder="1"/>
    <xf numFmtId="0" fontId="3" fillId="0" borderId="0" xfId="42" applyFont="1" applyBorder="1" applyAlignment="1">
      <alignment horizontal="center"/>
    </xf>
    <xf numFmtId="0" fontId="10" fillId="0" borderId="14" xfId="42" applyFont="1" applyBorder="1" applyAlignment="1">
      <alignment wrapText="1"/>
    </xf>
    <xf numFmtId="0" fontId="6" fillId="0" borderId="3" xfId="42" applyFont="1" applyBorder="1" applyAlignment="1">
      <alignment horizontal="center" wrapText="1"/>
    </xf>
    <xf numFmtId="0" fontId="3" fillId="0" borderId="3" xfId="42" applyFont="1" applyBorder="1" applyAlignment="1">
      <alignment horizontal="center" wrapText="1"/>
    </xf>
    <xf numFmtId="0" fontId="3" fillId="0" borderId="4" xfId="42" applyFont="1" applyBorder="1" applyAlignment="1">
      <alignment horizontal="center" wrapText="1"/>
    </xf>
    <xf numFmtId="0" fontId="10" fillId="0" borderId="14" xfId="42" applyFont="1" applyBorder="1"/>
    <xf numFmtId="0" fontId="10" fillId="0" borderId="13" xfId="42" applyFont="1" applyBorder="1" applyAlignment="1">
      <alignment wrapText="1"/>
    </xf>
    <xf numFmtId="0" fontId="1" fillId="8" borderId="0" xfId="42" applyFill="1" applyAlignment="1">
      <alignment wrapText="1"/>
    </xf>
    <xf numFmtId="0" fontId="1" fillId="8" borderId="0" xfId="42" applyFill="1"/>
    <xf numFmtId="0" fontId="1" fillId="8" borderId="0" xfId="42" applyFont="1" applyFill="1"/>
    <xf numFmtId="177" fontId="1" fillId="0" borderId="0" xfId="8" applyFont="1"/>
    <xf numFmtId="177" fontId="1" fillId="0" borderId="0" xfId="8" applyFont="1" applyBorder="1" applyAlignment="1">
      <alignment horizontal="center"/>
    </xf>
    <xf numFmtId="0" fontId="1" fillId="8" borderId="20" xfId="42" applyFill="1" applyBorder="1" applyAlignment="1">
      <alignment wrapText="1"/>
    </xf>
    <xf numFmtId="177" fontId="1" fillId="8" borderId="21" xfId="8" applyFont="1" applyFill="1" applyBorder="1" applyAlignment="1">
      <alignment wrapText="1"/>
    </xf>
    <xf numFmtId="0" fontId="1" fillId="8" borderId="21" xfId="42" applyFill="1" applyBorder="1" applyAlignment="1">
      <alignment wrapText="1"/>
    </xf>
    <xf numFmtId="0" fontId="10" fillId="8" borderId="21" xfId="42" applyFont="1" applyFill="1" applyBorder="1" applyAlignment="1">
      <alignment wrapText="1"/>
    </xf>
    <xf numFmtId="0" fontId="1" fillId="8" borderId="22" xfId="42" applyFill="1" applyBorder="1" applyAlignment="1">
      <alignment wrapText="1"/>
    </xf>
    <xf numFmtId="0" fontId="10" fillId="8" borderId="13" xfId="42" applyFont="1" applyFill="1" applyBorder="1" applyAlignment="1">
      <alignment wrapText="1"/>
    </xf>
    <xf numFmtId="177" fontId="1" fillId="8" borderId="5" xfId="8" applyFont="1" applyFill="1" applyBorder="1"/>
    <xf numFmtId="0" fontId="1" fillId="8" borderId="5" xfId="42" applyFill="1" applyBorder="1"/>
    <xf numFmtId="0" fontId="10" fillId="8" borderId="17" xfId="42" applyFont="1" applyFill="1" applyBorder="1" applyAlignment="1">
      <alignment wrapText="1"/>
    </xf>
    <xf numFmtId="177" fontId="1" fillId="8" borderId="5" xfId="8" applyFont="1" applyFill="1" applyBorder="1" applyProtection="1">
      <protection locked="0"/>
    </xf>
    <xf numFmtId="0" fontId="1" fillId="8" borderId="5" xfId="42" applyFont="1" applyFill="1" applyBorder="1"/>
    <xf numFmtId="177" fontId="1" fillId="8" borderId="5" xfId="8" applyFont="1" applyFill="1" applyBorder="1" applyAlignment="1">
      <alignment horizontal="right" wrapText="1"/>
    </xf>
    <xf numFmtId="0" fontId="1" fillId="8" borderId="5" xfId="42" applyFill="1" applyBorder="1" applyAlignment="1">
      <alignment horizontal="right"/>
    </xf>
    <xf numFmtId="0" fontId="1" fillId="8" borderId="5" xfId="42" applyFill="1" applyBorder="1" applyAlignment="1">
      <alignment horizontal="right" wrapText="1"/>
    </xf>
    <xf numFmtId="177" fontId="20" fillId="8" borderId="5" xfId="8" applyFont="1" applyFill="1" applyBorder="1" applyAlignment="1">
      <alignment horizontal="right" wrapText="1"/>
    </xf>
    <xf numFmtId="0" fontId="10" fillId="8" borderId="13" xfId="42" applyFont="1" applyFill="1" applyBorder="1" applyAlignment="1">
      <alignment vertical="center" wrapText="1"/>
    </xf>
    <xf numFmtId="0" fontId="10" fillId="8" borderId="23" xfId="42" applyFont="1" applyFill="1" applyBorder="1" applyAlignment="1">
      <alignment horizontal="center" vertical="center" wrapText="1"/>
    </xf>
    <xf numFmtId="0" fontId="10" fillId="8" borderId="24" xfId="42" applyFont="1" applyFill="1" applyBorder="1" applyAlignment="1">
      <alignment horizontal="center" vertical="center" wrapText="1"/>
    </xf>
    <xf numFmtId="0" fontId="10" fillId="8" borderId="25" xfId="42" applyFont="1" applyFill="1" applyBorder="1" applyAlignment="1">
      <alignment horizontal="center" vertical="center" wrapText="1"/>
    </xf>
    <xf numFmtId="177" fontId="1" fillId="8" borderId="18" xfId="8" applyFont="1" applyFill="1" applyBorder="1"/>
    <xf numFmtId="0" fontId="1" fillId="8" borderId="18" xfId="42" applyFill="1" applyBorder="1"/>
    <xf numFmtId="0" fontId="21" fillId="8" borderId="8" xfId="42" applyFont="1" applyFill="1" applyBorder="1" applyAlignment="1">
      <alignment vertical="center" wrapText="1"/>
    </xf>
    <xf numFmtId="177" fontId="1" fillId="8" borderId="9" xfId="8" applyFont="1" applyFill="1" applyBorder="1"/>
    <xf numFmtId="0" fontId="1" fillId="8" borderId="9" xfId="42" applyFill="1" applyBorder="1"/>
    <xf numFmtId="0" fontId="10" fillId="8" borderId="23" xfId="42" applyFont="1" applyFill="1" applyBorder="1" applyAlignment="1">
      <alignment vertical="center" wrapText="1"/>
    </xf>
    <xf numFmtId="177" fontId="1" fillId="8" borderId="26" xfId="8" applyFont="1" applyFill="1" applyBorder="1"/>
    <xf numFmtId="0" fontId="1" fillId="8" borderId="26" xfId="42" applyFill="1" applyBorder="1"/>
    <xf numFmtId="4" fontId="1" fillId="0" borderId="27" xfId="42" applyNumberFormat="1" applyFill="1" applyBorder="1"/>
    <xf numFmtId="0" fontId="10" fillId="8" borderId="28" xfId="42" applyFont="1" applyFill="1" applyBorder="1" applyAlignment="1">
      <alignment vertical="center" wrapText="1"/>
    </xf>
    <xf numFmtId="177" fontId="1" fillId="8" borderId="29" xfId="8" applyFont="1" applyFill="1" applyBorder="1"/>
    <xf numFmtId="0" fontId="1" fillId="8" borderId="29" xfId="42" applyFill="1" applyBorder="1"/>
    <xf numFmtId="4" fontId="1" fillId="0" borderId="30" xfId="42" applyNumberFormat="1" applyFill="1" applyBorder="1"/>
    <xf numFmtId="0" fontId="10" fillId="0" borderId="17" xfId="42" applyFont="1" applyBorder="1" applyAlignment="1">
      <alignment vertical="center" wrapText="1"/>
    </xf>
    <xf numFmtId="177" fontId="1" fillId="0" borderId="18" xfId="8" applyFont="1" applyBorder="1"/>
    <xf numFmtId="0" fontId="1" fillId="0" borderId="18" xfId="42" applyBorder="1"/>
    <xf numFmtId="4" fontId="1" fillId="4" borderId="19" xfId="42" applyNumberFormat="1" applyFill="1" applyBorder="1"/>
    <xf numFmtId="0" fontId="10" fillId="0" borderId="13" xfId="42" applyFont="1" applyBorder="1" applyAlignment="1">
      <alignment vertical="center" wrapText="1"/>
    </xf>
    <xf numFmtId="177" fontId="1" fillId="0" borderId="5" xfId="8" applyFont="1" applyBorder="1"/>
    <xf numFmtId="4" fontId="1" fillId="4" borderId="12" xfId="42" applyNumberFormat="1" applyFill="1" applyBorder="1"/>
    <xf numFmtId="177" fontId="1" fillId="0" borderId="15" xfId="8" applyFont="1" applyBorder="1"/>
    <xf numFmtId="0" fontId="1" fillId="0" borderId="0" xfId="42" applyBorder="1" applyAlignment="1">
      <alignment wrapText="1"/>
    </xf>
    <xf numFmtId="177" fontId="1" fillId="0" borderId="0" xfId="8" applyFont="1" applyBorder="1"/>
    <xf numFmtId="0" fontId="6" fillId="8" borderId="0" xfId="42" applyFont="1" applyFill="1" applyAlignment="1">
      <alignment horizontal="center" wrapText="1"/>
    </xf>
    <xf numFmtId="0" fontId="22" fillId="8" borderId="0" xfId="42" applyFont="1" applyFill="1" applyAlignment="1">
      <alignment horizontal="center" wrapText="1"/>
    </xf>
    <xf numFmtId="177" fontId="1" fillId="8" borderId="0" xfId="8" applyFont="1" applyFill="1"/>
    <xf numFmtId="0" fontId="1" fillId="8" borderId="8" xfId="42" applyFill="1" applyBorder="1" applyAlignment="1">
      <alignment wrapText="1"/>
    </xf>
    <xf numFmtId="177" fontId="1" fillId="8" borderId="9" xfId="8" applyFont="1" applyFill="1" applyBorder="1" applyAlignment="1">
      <alignment wrapText="1"/>
    </xf>
    <xf numFmtId="0" fontId="1" fillId="8" borderId="9" xfId="42" applyFill="1" applyBorder="1" applyAlignment="1">
      <alignment wrapText="1"/>
    </xf>
    <xf numFmtId="0" fontId="10" fillId="8" borderId="9" xfId="42" applyFont="1" applyFill="1" applyBorder="1" applyAlignment="1">
      <alignment wrapText="1"/>
    </xf>
    <xf numFmtId="0" fontId="1" fillId="8" borderId="10" xfId="42" applyFill="1" applyBorder="1" applyAlignment="1">
      <alignment wrapText="1"/>
    </xf>
    <xf numFmtId="177" fontId="1" fillId="8" borderId="12" xfId="8" applyFont="1" applyFill="1" applyBorder="1" applyAlignment="1">
      <alignment horizontal="left" vertical="center"/>
    </xf>
    <xf numFmtId="177" fontId="1" fillId="8" borderId="7" xfId="8" applyFont="1" applyFill="1" applyBorder="1" applyAlignment="1">
      <alignment horizontal="left" vertical="center"/>
    </xf>
    <xf numFmtId="177" fontId="1" fillId="8" borderId="0" xfId="42" applyNumberFormat="1" applyFont="1" applyFill="1" applyBorder="1" applyAlignment="1">
      <alignment vertical="center"/>
    </xf>
    <xf numFmtId="4" fontId="1" fillId="8" borderId="0" xfId="42" applyNumberFormat="1" applyFill="1"/>
    <xf numFmtId="0" fontId="23" fillId="0" borderId="0" xfId="42" applyFont="1"/>
    <xf numFmtId="177" fontId="23" fillId="8" borderId="12" xfId="8" applyFont="1" applyFill="1" applyBorder="1" applyAlignment="1">
      <alignment horizontal="left" vertical="center"/>
    </xf>
    <xf numFmtId="0" fontId="10" fillId="8" borderId="14" xfId="42" applyFont="1" applyFill="1" applyBorder="1" applyAlignment="1">
      <alignment wrapText="1"/>
    </xf>
    <xf numFmtId="177" fontId="1" fillId="8" borderId="15" xfId="8" applyFont="1" applyFill="1" applyBorder="1"/>
    <xf numFmtId="0" fontId="1" fillId="8" borderId="15" xfId="42" applyFill="1" applyBorder="1"/>
    <xf numFmtId="0" fontId="1" fillId="8" borderId="16" xfId="42" applyFill="1" applyBorder="1"/>
    <xf numFmtId="0" fontId="24" fillId="0" borderId="0" xfId="42" applyFont="1"/>
    <xf numFmtId="177" fontId="25" fillId="0" borderId="0" xfId="8" applyFont="1"/>
    <xf numFmtId="0" fontId="25" fillId="0" borderId="0" xfId="42" applyFont="1"/>
    <xf numFmtId="0" fontId="22" fillId="0" borderId="0" xfId="42" applyFont="1"/>
    <xf numFmtId="0" fontId="26" fillId="0" borderId="5" xfId="42" applyFont="1" applyBorder="1" applyAlignment="1">
      <alignment wrapText="1"/>
    </xf>
    <xf numFmtId="177" fontId="1" fillId="0" borderId="5" xfId="8" applyFont="1" applyBorder="1" applyAlignment="1">
      <alignment wrapText="1"/>
    </xf>
    <xf numFmtId="0" fontId="1" fillId="0" borderId="5" xfId="42" applyBorder="1" applyAlignment="1">
      <alignment wrapText="1"/>
    </xf>
    <xf numFmtId="0" fontId="27" fillId="0" borderId="5" xfId="42" applyFont="1" applyBorder="1" applyAlignment="1">
      <alignment horizontal="left" wrapText="1"/>
    </xf>
    <xf numFmtId="177" fontId="14" fillId="0" borderId="5" xfId="8" applyFont="1" applyBorder="1"/>
    <xf numFmtId="2" fontId="14" fillId="0" borderId="5" xfId="42" applyNumberFormat="1" applyFont="1" applyBorder="1"/>
    <xf numFmtId="0" fontId="14" fillId="0" borderId="5" xfId="42" applyFont="1" applyBorder="1"/>
    <xf numFmtId="0" fontId="28" fillId="0" borderId="5" xfId="42" applyFont="1" applyBorder="1"/>
    <xf numFmtId="177" fontId="28" fillId="0" borderId="5" xfId="8" applyFont="1" applyBorder="1"/>
    <xf numFmtId="0" fontId="28" fillId="0" borderId="0" xfId="42" applyFont="1" applyBorder="1"/>
    <xf numFmtId="177" fontId="28" fillId="0" borderId="0" xfId="8" applyFont="1" applyBorder="1"/>
    <xf numFmtId="177" fontId="1" fillId="0" borderId="9" xfId="8" applyFont="1" applyBorder="1" applyAlignment="1">
      <alignment wrapText="1"/>
    </xf>
    <xf numFmtId="0" fontId="21" fillId="0" borderId="13" xfId="42" applyFont="1" applyBorder="1" applyAlignment="1">
      <alignment wrapText="1"/>
    </xf>
    <xf numFmtId="4" fontId="23" fillId="4" borderId="12" xfId="42" applyNumberFormat="1" applyFont="1" applyFill="1" applyBorder="1" applyAlignment="1">
      <alignment horizontal="center"/>
    </xf>
    <xf numFmtId="4" fontId="1" fillId="4" borderId="12" xfId="42" applyNumberFormat="1" applyFill="1" applyBorder="1" applyAlignment="1">
      <alignment horizontal="center"/>
    </xf>
    <xf numFmtId="0" fontId="29" fillId="0" borderId="13" xfId="42" applyFont="1" applyBorder="1" applyAlignment="1">
      <alignment wrapText="1"/>
    </xf>
    <xf numFmtId="177" fontId="20" fillId="0" borderId="5" xfId="8" applyFont="1" applyBorder="1"/>
    <xf numFmtId="0" fontId="20" fillId="0" borderId="5" xfId="42" applyFont="1" applyBorder="1"/>
    <xf numFmtId="4" fontId="20" fillId="4" borderId="12" xfId="42" applyNumberFormat="1" applyFont="1" applyFill="1" applyBorder="1" applyAlignment="1">
      <alignment horizontal="center"/>
    </xf>
    <xf numFmtId="0" fontId="10" fillId="0" borderId="17" xfId="42" applyFont="1" applyBorder="1" applyAlignment="1">
      <alignment wrapText="1"/>
    </xf>
    <xf numFmtId="4" fontId="1" fillId="0" borderId="12" xfId="42" applyNumberFormat="1" applyBorder="1" applyAlignment="1">
      <alignment horizontal="center"/>
    </xf>
    <xf numFmtId="0" fontId="10" fillId="0" borderId="23" xfId="42" applyFont="1" applyBorder="1" applyAlignment="1">
      <alignment wrapText="1"/>
    </xf>
    <xf numFmtId="177" fontId="1" fillId="0" borderId="26" xfId="8" applyFont="1" applyBorder="1"/>
    <xf numFmtId="0" fontId="1" fillId="0" borderId="26" xfId="42" applyBorder="1"/>
    <xf numFmtId="0" fontId="21" fillId="0" borderId="14" xfId="42" applyFont="1" applyBorder="1" applyAlignment="1">
      <alignment wrapText="1"/>
    </xf>
    <xf numFmtId="177" fontId="20" fillId="0" borderId="15" xfId="8" applyFont="1" applyBorder="1"/>
    <xf numFmtId="4" fontId="1" fillId="0" borderId="16" xfId="42" applyNumberFormat="1" applyBorder="1" applyAlignment="1">
      <alignment horizontal="center"/>
    </xf>
    <xf numFmtId="177" fontId="1" fillId="0" borderId="1" xfId="8" applyFont="1" applyBorder="1"/>
    <xf numFmtId="2" fontId="1" fillId="0" borderId="0" xfId="42" applyNumberFormat="1"/>
    <xf numFmtId="0" fontId="8" fillId="0" borderId="0" xfId="42" applyFont="1"/>
    <xf numFmtId="0" fontId="10" fillId="0" borderId="0" xfId="42" applyFont="1"/>
    <xf numFmtId="0" fontId="1" fillId="0" borderId="0" xfId="42" applyAlignment="1">
      <alignment horizontal="center" wrapText="1"/>
    </xf>
    <xf numFmtId="0" fontId="30" fillId="0" borderId="0" xfId="42" applyFont="1" applyBorder="1" applyAlignment="1">
      <alignment horizontal="center" wrapText="1"/>
    </xf>
    <xf numFmtId="0" fontId="3" fillId="0" borderId="0" xfId="42" applyFont="1" applyBorder="1" applyAlignment="1">
      <alignment horizontal="center" wrapText="1"/>
    </xf>
    <xf numFmtId="0" fontId="10" fillId="0" borderId="8" xfId="42" applyFont="1" applyBorder="1" applyAlignment="1">
      <alignment wrapText="1"/>
    </xf>
    <xf numFmtId="0" fontId="10" fillId="0" borderId="5" xfId="42" applyFont="1" applyBorder="1" applyAlignment="1">
      <alignment wrapText="1"/>
    </xf>
    <xf numFmtId="4" fontId="10" fillId="0" borderId="5" xfId="42" applyNumberFormat="1" applyFont="1" applyBorder="1" applyAlignment="1">
      <alignment wrapText="1"/>
    </xf>
    <xf numFmtId="4" fontId="10" fillId="0" borderId="12" xfId="42" applyNumberFormat="1" applyFont="1" applyBorder="1" applyAlignment="1">
      <alignment wrapText="1"/>
    </xf>
    <xf numFmtId="0" fontId="10" fillId="0" borderId="25" xfId="42" applyFont="1" applyBorder="1" applyAlignment="1">
      <alignment wrapText="1"/>
    </xf>
    <xf numFmtId="0" fontId="10" fillId="0" borderId="31" xfId="42" applyFont="1" applyBorder="1" applyAlignment="1">
      <alignment wrapText="1"/>
    </xf>
    <xf numFmtId="4" fontId="10" fillId="0" borderId="31" xfId="42" applyNumberFormat="1" applyFont="1" applyBorder="1" applyAlignment="1">
      <alignment wrapText="1"/>
    </xf>
    <xf numFmtId="4" fontId="10" fillId="0" borderId="32" xfId="42" applyNumberFormat="1" applyFont="1" applyBorder="1" applyAlignment="1">
      <alignment wrapText="1"/>
    </xf>
    <xf numFmtId="0" fontId="10" fillId="0" borderId="0" xfId="42" applyFont="1" applyAlignment="1">
      <alignment wrapText="1"/>
    </xf>
    <xf numFmtId="4" fontId="10" fillId="0" borderId="33" xfId="42" applyNumberFormat="1" applyFont="1" applyBorder="1" applyAlignment="1">
      <alignment wrapText="1"/>
    </xf>
    <xf numFmtId="4" fontId="10" fillId="0" borderId="34" xfId="42" applyNumberFormat="1" applyFont="1" applyBorder="1" applyAlignment="1">
      <alignment wrapText="1"/>
    </xf>
    <xf numFmtId="4" fontId="10" fillId="0" borderId="0" xfId="42" applyNumberFormat="1" applyFont="1" applyAlignment="1">
      <alignment wrapText="1"/>
    </xf>
    <xf numFmtId="0" fontId="10" fillId="0" borderId="8" xfId="42" applyFont="1" applyBorder="1"/>
    <xf numFmtId="0" fontId="5" fillId="0" borderId="9" xfId="42" applyFont="1" applyBorder="1" applyAlignment="1">
      <alignment wrapText="1"/>
    </xf>
    <xf numFmtId="0" fontId="5" fillId="0" borderId="10" xfId="42" applyFont="1" applyBorder="1" applyAlignment="1">
      <alignment wrapText="1"/>
    </xf>
    <xf numFmtId="0" fontId="5" fillId="0" borderId="13" xfId="42" applyFont="1" applyBorder="1" applyAlignment="1">
      <alignment wrapText="1"/>
    </xf>
    <xf numFmtId="0" fontId="5" fillId="0" borderId="14" xfId="42" applyFont="1" applyBorder="1" applyAlignment="1">
      <alignment wrapText="1"/>
    </xf>
    <xf numFmtId="0" fontId="10" fillId="0" borderId="15" xfId="42" applyFont="1" applyBorder="1" applyAlignment="1">
      <alignment wrapText="1"/>
    </xf>
    <xf numFmtId="4" fontId="10" fillId="0" borderId="16" xfId="42" applyNumberFormat="1" applyFont="1" applyBorder="1" applyAlignment="1">
      <alignment wrapText="1"/>
    </xf>
    <xf numFmtId="0" fontId="3" fillId="0" borderId="0" xfId="42" applyFont="1" applyAlignment="1">
      <alignment horizontal="center" wrapText="1"/>
    </xf>
    <xf numFmtId="0" fontId="5" fillId="0" borderId="8" xfId="42" applyFont="1" applyBorder="1" applyAlignment="1">
      <alignment horizontal="center" vertical="top" wrapText="1"/>
    </xf>
    <xf numFmtId="0" fontId="10" fillId="0" borderId="35" xfId="42" applyFont="1" applyBorder="1" applyAlignment="1">
      <alignment horizontal="center" vertical="top" wrapText="1"/>
    </xf>
    <xf numFmtId="0" fontId="0" fillId="0" borderId="36" xfId="0" applyBorder="1"/>
    <xf numFmtId="0" fontId="5" fillId="0" borderId="9" xfId="42" applyFont="1" applyBorder="1" applyAlignment="1">
      <alignment horizontal="center" vertical="top" wrapText="1"/>
    </xf>
    <xf numFmtId="0" fontId="5" fillId="0" borderId="10" xfId="42" applyFont="1" applyBorder="1" applyAlignment="1">
      <alignment horizontal="center" vertical="top" wrapText="1"/>
    </xf>
    <xf numFmtId="0" fontId="10" fillId="9" borderId="13" xfId="42" applyFont="1" applyFill="1" applyBorder="1" applyAlignment="1">
      <alignment wrapText="1"/>
    </xf>
    <xf numFmtId="0" fontId="10" fillId="0" borderId="2" xfId="42" applyFont="1" applyBorder="1" applyAlignment="1">
      <alignment horizontal="center" wrapText="1"/>
    </xf>
    <xf numFmtId="0" fontId="10" fillId="0" borderId="4" xfId="42" applyFont="1" applyBorder="1" applyAlignment="1">
      <alignment horizontal="center" wrapText="1"/>
    </xf>
    <xf numFmtId="0" fontId="10" fillId="0" borderId="12" xfId="42" applyFont="1" applyBorder="1" applyAlignment="1">
      <alignment wrapText="1"/>
    </xf>
    <xf numFmtId="0" fontId="10" fillId="9" borderId="14" xfId="42" applyFont="1" applyFill="1" applyBorder="1" applyAlignment="1">
      <alignment wrapText="1"/>
    </xf>
    <xf numFmtId="0" fontId="10" fillId="0" borderId="37" xfId="42" applyFont="1" applyBorder="1" applyAlignment="1">
      <alignment horizontal="center" wrapText="1"/>
    </xf>
    <xf numFmtId="0" fontId="10" fillId="0" borderId="38" xfId="42" applyFont="1" applyBorder="1" applyAlignment="1">
      <alignment horizontal="center" wrapText="1"/>
    </xf>
    <xf numFmtId="4" fontId="10" fillId="0" borderId="15" xfId="42" applyNumberFormat="1" applyFont="1" applyBorder="1" applyAlignment="1">
      <alignment wrapText="1"/>
    </xf>
    <xf numFmtId="0" fontId="10" fillId="0" borderId="16" xfId="42" applyFont="1" applyBorder="1" applyAlignment="1">
      <alignment wrapText="1"/>
    </xf>
    <xf numFmtId="4" fontId="10" fillId="0" borderId="5" xfId="42" applyNumberFormat="1" applyFont="1" applyFill="1" applyBorder="1" applyAlignment="1">
      <alignment wrapText="1"/>
    </xf>
    <xf numFmtId="4" fontId="10" fillId="0" borderId="12" xfId="42" applyNumberFormat="1" applyFont="1" applyFill="1" applyBorder="1" applyAlignment="1">
      <alignment wrapText="1"/>
    </xf>
    <xf numFmtId="2" fontId="10" fillId="0" borderId="15" xfId="42" applyNumberFormat="1" applyFont="1" applyBorder="1" applyAlignment="1">
      <alignment wrapText="1"/>
    </xf>
    <xf numFmtId="4" fontId="10" fillId="0" borderId="15" xfId="42" applyNumberFormat="1" applyFont="1" applyFill="1" applyBorder="1" applyAlignment="1">
      <alignment wrapText="1"/>
    </xf>
    <xf numFmtId="4" fontId="10" fillId="0" borderId="16" xfId="42" applyNumberFormat="1" applyFont="1" applyFill="1" applyBorder="1" applyAlignment="1">
      <alignment wrapText="1"/>
    </xf>
    <xf numFmtId="4" fontId="10" fillId="0" borderId="39" xfId="42" applyNumberFormat="1" applyFont="1" applyFill="1" applyBorder="1" applyAlignment="1">
      <alignment wrapText="1"/>
    </xf>
    <xf numFmtId="4" fontId="10" fillId="0" borderId="40" xfId="42" applyNumberFormat="1" applyFont="1" applyFill="1" applyBorder="1" applyAlignment="1">
      <alignment wrapText="1"/>
    </xf>
    <xf numFmtId="0" fontId="31" fillId="0" borderId="0" xfId="42" applyFont="1" applyBorder="1" applyAlignment="1">
      <alignment horizontal="center" wrapText="1"/>
    </xf>
    <xf numFmtId="0" fontId="31" fillId="0" borderId="0" xfId="42" applyFont="1" applyFill="1" applyBorder="1" applyAlignment="1">
      <alignment horizontal="center" wrapText="1"/>
    </xf>
    <xf numFmtId="0" fontId="1" fillId="0" borderId="0" xfId="42" applyFont="1" applyAlignment="1"/>
    <xf numFmtId="0" fontId="3" fillId="0" borderId="41" xfId="42" applyFont="1" applyBorder="1" applyAlignment="1">
      <alignment horizontal="center" wrapText="1"/>
    </xf>
    <xf numFmtId="0" fontId="6" fillId="0" borderId="0" xfId="42" applyFont="1" applyBorder="1" applyAlignment="1">
      <alignment wrapText="1"/>
    </xf>
    <xf numFmtId="0" fontId="8" fillId="0" borderId="0" xfId="42" applyFont="1" applyAlignment="1">
      <alignment wrapText="1"/>
    </xf>
    <xf numFmtId="0" fontId="3" fillId="0" borderId="0" xfId="42" applyFont="1" applyBorder="1" applyAlignment="1">
      <alignment wrapText="1"/>
    </xf>
    <xf numFmtId="0" fontId="10" fillId="0" borderId="1" xfId="42" applyFont="1" applyBorder="1" applyAlignment="1">
      <alignment horizontal="center" wrapText="1"/>
    </xf>
    <xf numFmtId="0" fontId="10" fillId="0" borderId="5" xfId="42" applyFont="1" applyBorder="1"/>
    <xf numFmtId="36" fontId="10" fillId="0" borderId="5" xfId="42" applyNumberFormat="1" applyFont="1" applyBorder="1"/>
    <xf numFmtId="0" fontId="10" fillId="2" borderId="5" xfId="42" applyFont="1" applyFill="1" applyBorder="1"/>
    <xf numFmtId="0" fontId="32" fillId="0" borderId="5" xfId="42" applyFont="1" applyBorder="1"/>
    <xf numFmtId="36" fontId="10" fillId="0" borderId="5" xfId="42" applyNumberFormat="1" applyFont="1" applyBorder="1" applyAlignment="1">
      <alignment wrapText="1"/>
    </xf>
    <xf numFmtId="0" fontId="1" fillId="0" borderId="5" xfId="42" applyFont="1" applyFill="1" applyBorder="1"/>
    <xf numFmtId="0" fontId="1" fillId="0" borderId="0" xfId="42" applyFont="1" applyBorder="1"/>
    <xf numFmtId="0" fontId="1" fillId="0" borderId="2" xfId="42" applyFont="1" applyFill="1" applyBorder="1" applyAlignment="1">
      <alignment horizontal="center"/>
    </xf>
    <xf numFmtId="0" fontId="1" fillId="0" borderId="4" xfId="42" applyFont="1" applyFill="1" applyBorder="1" applyAlignment="1">
      <alignment horizontal="center"/>
    </xf>
    <xf numFmtId="0" fontId="1" fillId="0" borderId="3" xfId="42" applyFont="1" applyFill="1" applyBorder="1"/>
    <xf numFmtId="2" fontId="10" fillId="2" borderId="5" xfId="42" applyNumberFormat="1" applyFont="1" applyFill="1" applyBorder="1"/>
    <xf numFmtId="36" fontId="10" fillId="0" borderId="5" xfId="42" applyNumberFormat="1" applyFont="1" applyFill="1" applyBorder="1"/>
    <xf numFmtId="0" fontId="1" fillId="0" borderId="1" xfId="42" applyFont="1" applyFill="1" applyBorder="1" applyAlignment="1">
      <alignment horizontal="center"/>
    </xf>
    <xf numFmtId="0" fontId="1" fillId="0" borderId="0" xfId="42" applyFont="1" applyFill="1" applyBorder="1"/>
    <xf numFmtId="0" fontId="10" fillId="0" borderId="0" xfId="42" applyFont="1" applyBorder="1"/>
    <xf numFmtId="4" fontId="1" fillId="0" borderId="0" xfId="42" applyNumberFormat="1" applyAlignment="1">
      <alignment wrapText="1"/>
    </xf>
    <xf numFmtId="0" fontId="10" fillId="0" borderId="0" xfId="42" applyFont="1" applyFill="1"/>
    <xf numFmtId="0" fontId="33" fillId="0" borderId="0" xfId="42" applyFont="1" applyFill="1"/>
    <xf numFmtId="0" fontId="1" fillId="0" borderId="4" xfId="42" applyFont="1" applyFill="1" applyBorder="1"/>
    <xf numFmtId="2" fontId="1" fillId="0" borderId="0" xfId="42" applyNumberFormat="1" applyFont="1" applyFill="1"/>
    <xf numFmtId="0" fontId="10" fillId="0" borderId="0" xfId="42" applyFont="1" applyBorder="1" applyAlignment="1">
      <alignment wrapText="1"/>
    </xf>
    <xf numFmtId="4" fontId="10" fillId="0" borderId="0" xfId="42" applyNumberFormat="1" applyFont="1" applyBorder="1" applyAlignment="1">
      <alignment wrapText="1"/>
    </xf>
    <xf numFmtId="0" fontId="10" fillId="0" borderId="42" xfId="42" applyFont="1" applyBorder="1" applyAlignment="1">
      <alignment horizontal="left" wrapText="1"/>
    </xf>
    <xf numFmtId="0" fontId="10" fillId="0" borderId="1" xfId="42" applyFont="1" applyBorder="1" applyAlignment="1">
      <alignment horizontal="left" wrapText="1"/>
    </xf>
    <xf numFmtId="0" fontId="10" fillId="0" borderId="43" xfId="42" applyFont="1" applyBorder="1" applyAlignment="1">
      <alignment horizontal="left" wrapText="1"/>
    </xf>
    <xf numFmtId="0" fontId="10" fillId="0" borderId="18" xfId="42" applyFont="1" applyBorder="1" applyAlignment="1">
      <alignment wrapText="1"/>
    </xf>
    <xf numFmtId="4" fontId="10" fillId="0" borderId="44" xfId="42" applyNumberFormat="1" applyFont="1" applyBorder="1" applyAlignment="1">
      <alignment wrapText="1"/>
    </xf>
    <xf numFmtId="0" fontId="10" fillId="0" borderId="45" xfId="42" applyFont="1" applyBorder="1" applyAlignment="1">
      <alignment horizontal="left" wrapText="1"/>
    </xf>
    <xf numFmtId="0" fontId="10" fillId="0" borderId="46" xfId="42" applyFont="1" applyBorder="1" applyAlignment="1">
      <alignment horizontal="left" wrapText="1"/>
    </xf>
    <xf numFmtId="0" fontId="10" fillId="0" borderId="38" xfId="42" applyFont="1" applyBorder="1" applyAlignment="1">
      <alignment horizontal="left" wrapText="1"/>
    </xf>
    <xf numFmtId="0" fontId="34" fillId="0" borderId="0" xfId="42" applyFont="1" applyAlignment="1">
      <alignment horizontal="center"/>
    </xf>
    <xf numFmtId="0" fontId="1" fillId="0" borderId="0" xfId="42" applyNumberFormat="1" applyAlignment="1">
      <alignment wrapText="1"/>
    </xf>
    <xf numFmtId="0" fontId="35" fillId="0" borderId="0" xfId="42" applyFont="1" applyAlignment="1">
      <alignment horizontal="center" wrapText="1"/>
    </xf>
    <xf numFmtId="0" fontId="23" fillId="0" borderId="5" xfId="42" applyFont="1" applyBorder="1"/>
    <xf numFmtId="4" fontId="23" fillId="0" borderId="5" xfId="42" applyNumberFormat="1" applyFont="1" applyBorder="1"/>
    <xf numFmtId="4" fontId="23" fillId="0" borderId="0" xfId="42" applyNumberFormat="1" applyFont="1"/>
    <xf numFmtId="4" fontId="14" fillId="9" borderId="5" xfId="7" applyNumberFormat="1" applyFont="1" applyFill="1" applyBorder="1" applyAlignment="1">
      <alignment vertical="top" wrapText="1"/>
    </xf>
    <xf numFmtId="4" fontId="14" fillId="0" borderId="5" xfId="7" applyNumberFormat="1" applyFont="1" applyBorder="1" applyAlignment="1">
      <alignment vertical="top" wrapText="1"/>
    </xf>
    <xf numFmtId="0" fontId="23" fillId="0" borderId="1" xfId="42" applyFont="1" applyBorder="1" applyAlignment="1">
      <alignment horizontal="center"/>
    </xf>
    <xf numFmtId="0" fontId="23" fillId="0" borderId="2" xfId="42" applyFont="1" applyBorder="1" applyAlignment="1">
      <alignment horizontal="center"/>
    </xf>
    <xf numFmtId="4" fontId="1" fillId="0" borderId="5" xfId="42" applyNumberFormat="1" applyBorder="1" applyProtection="1">
      <protection locked="0"/>
    </xf>
    <xf numFmtId="4" fontId="23" fillId="0" borderId="5" xfId="42" applyNumberFormat="1" applyFont="1" applyBorder="1" applyProtection="1">
      <protection locked="0"/>
    </xf>
    <xf numFmtId="0" fontId="1" fillId="9" borderId="5" xfId="42" applyFill="1" applyBorder="1"/>
    <xf numFmtId="4" fontId="1" fillId="9" borderId="5" xfId="42" applyNumberFormat="1" applyFill="1" applyBorder="1" applyProtection="1">
      <protection locked="0"/>
    </xf>
    <xf numFmtId="4" fontId="1" fillId="0" borderId="0" xfId="42" applyNumberFormat="1" applyBorder="1"/>
    <xf numFmtId="4" fontId="1" fillId="10" borderId="0" xfId="42" applyNumberFormat="1" applyFill="1"/>
    <xf numFmtId="181" fontId="1" fillId="11" borderId="0" xfId="42" applyNumberFormat="1" applyFill="1"/>
    <xf numFmtId="181" fontId="7" fillId="11" borderId="5" xfId="0" applyNumberFormat="1" applyFont="1" applyFill="1" applyBorder="1" applyAlignment="1">
      <alignment horizontal="right" vertical="top"/>
    </xf>
    <xf numFmtId="0" fontId="23" fillId="0" borderId="4" xfId="42" applyFont="1" applyBorder="1" applyAlignment="1">
      <alignment horizontal="center"/>
    </xf>
    <xf numFmtId="0" fontId="1" fillId="12" borderId="5" xfId="42" applyFill="1" applyBorder="1"/>
    <xf numFmtId="4" fontId="1" fillId="13" borderId="0" xfId="42" applyNumberFormat="1" applyFill="1"/>
    <xf numFmtId="0" fontId="1" fillId="9" borderId="0" xfId="42" applyFill="1"/>
    <xf numFmtId="4" fontId="1" fillId="8" borderId="5" xfId="42" applyNumberFormat="1" applyFill="1" applyBorder="1"/>
    <xf numFmtId="182" fontId="1" fillId="11" borderId="0" xfId="42" applyNumberFormat="1" applyFill="1"/>
    <xf numFmtId="183" fontId="7" fillId="11" borderId="5" xfId="0" applyNumberFormat="1" applyFont="1" applyFill="1" applyBorder="1" applyAlignment="1">
      <alignment horizontal="right" vertical="top"/>
    </xf>
    <xf numFmtId="0" fontId="36" fillId="0" borderId="0" xfId="0" applyFont="1" applyFill="1"/>
    <xf numFmtId="0" fontId="37" fillId="0" borderId="0" xfId="0" applyFont="1"/>
    <xf numFmtId="0" fontId="36" fillId="0" borderId="0" xfId="0" applyFont="1" applyBorder="1"/>
    <xf numFmtId="0" fontId="5" fillId="8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6" fillId="8" borderId="0" xfId="0" applyFont="1" applyFill="1"/>
    <xf numFmtId="0" fontId="7" fillId="0" borderId="0" xfId="0" applyFont="1"/>
    <xf numFmtId="0" fontId="38" fillId="0" borderId="0" xfId="0" applyFont="1"/>
    <xf numFmtId="0" fontId="39" fillId="0" borderId="0" xfId="0" applyFont="1"/>
    <xf numFmtId="0" fontId="36" fillId="0" borderId="0" xfId="0" applyFont="1"/>
    <xf numFmtId="0" fontId="7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40" fillId="0" borderId="1" xfId="0" applyFont="1" applyBorder="1" applyAlignment="1">
      <alignment horizontal="left" wrapText="1"/>
    </xf>
    <xf numFmtId="0" fontId="41" fillId="0" borderId="1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wrapText="1"/>
    </xf>
    <xf numFmtId="0" fontId="37" fillId="0" borderId="4" xfId="0" applyFont="1" applyBorder="1" applyAlignment="1">
      <alignment horizontal="center" wrapText="1"/>
    </xf>
    <xf numFmtId="0" fontId="37" fillId="0" borderId="5" xfId="0" applyFont="1" applyBorder="1" applyAlignment="1">
      <alignment wrapText="1"/>
    </xf>
    <xf numFmtId="0" fontId="37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6" fillId="0" borderId="0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36" fillId="0" borderId="6" xfId="0" applyFont="1" applyBorder="1"/>
    <xf numFmtId="0" fontId="42" fillId="0" borderId="0" xfId="0" applyFont="1" applyBorder="1" applyAlignment="1"/>
    <xf numFmtId="0" fontId="42" fillId="0" borderId="0" xfId="0" applyFont="1"/>
    <xf numFmtId="0" fontId="36" fillId="0" borderId="5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47" xfId="0" applyFont="1" applyBorder="1" applyAlignment="1">
      <alignment horizontal="right"/>
    </xf>
    <xf numFmtId="49" fontId="36" fillId="0" borderId="5" xfId="0" applyNumberFormat="1" applyFont="1" applyBorder="1" applyAlignment="1">
      <alignment horizontal="center"/>
    </xf>
    <xf numFmtId="36" fontId="36" fillId="0" borderId="5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29" fillId="0" borderId="0" xfId="0" applyFont="1" applyFill="1" applyAlignment="1">
      <alignment horizontal="right" wrapText="1"/>
    </xf>
    <xf numFmtId="0" fontId="29" fillId="0" borderId="47" xfId="0" applyFont="1" applyFill="1" applyBorder="1" applyAlignment="1">
      <alignment horizontal="right" wrapText="1"/>
    </xf>
    <xf numFmtId="0" fontId="29" fillId="0" borderId="0" xfId="0" applyFont="1"/>
    <xf numFmtId="0" fontId="36" fillId="0" borderId="5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37" fillId="0" borderId="26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left" wrapText="1"/>
    </xf>
    <xf numFmtId="0" fontId="37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3" fillId="0" borderId="5" xfId="0" applyFont="1" applyBorder="1" applyAlignment="1">
      <alignment wrapText="1"/>
    </xf>
    <xf numFmtId="4" fontId="43" fillId="0" borderId="5" xfId="0" applyNumberFormat="1" applyFont="1" applyBorder="1" applyAlignment="1">
      <alignment wrapText="1"/>
    </xf>
    <xf numFmtId="4" fontId="43" fillId="0" borderId="2" xfId="0" applyNumberFormat="1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37" fillId="0" borderId="5" xfId="0" applyFont="1" applyBorder="1"/>
    <xf numFmtId="9" fontId="37" fillId="0" borderId="5" xfId="0" applyNumberFormat="1" applyFont="1" applyBorder="1"/>
    <xf numFmtId="0" fontId="39" fillId="0" borderId="26" xfId="0" applyFont="1" applyBorder="1" applyAlignment="1">
      <alignment horizontal="center"/>
    </xf>
    <xf numFmtId="0" fontId="5" fillId="8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36" fontId="5" fillId="8" borderId="5" xfId="0" applyNumberFormat="1" applyFont="1" applyFill="1" applyBorder="1" applyAlignment="1">
      <alignment horizontal="center" vertical="center"/>
    </xf>
    <xf numFmtId="36" fontId="5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6" fillId="0" borderId="18" xfId="0" applyFont="1" applyBorder="1"/>
    <xf numFmtId="0" fontId="36" fillId="0" borderId="18" xfId="0" applyFont="1" applyBorder="1" applyAlignment="1">
      <alignment horizontal="center"/>
    </xf>
    <xf numFmtId="0" fontId="36" fillId="0" borderId="0" xfId="0" applyFont="1" applyBorder="1" applyAlignment="1">
      <alignment horizontal="left" wrapText="1"/>
    </xf>
    <xf numFmtId="0" fontId="39" fillId="0" borderId="6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4" fillId="0" borderId="2" xfId="0" applyFont="1" applyBorder="1" applyAlignment="1">
      <alignment horizontal="left" vertical="top" wrapText="1"/>
    </xf>
    <xf numFmtId="0" fontId="44" fillId="0" borderId="3" xfId="0" applyFont="1" applyBorder="1" applyAlignment="1">
      <alignment horizontal="left" vertical="top"/>
    </xf>
    <xf numFmtId="0" fontId="44" fillId="0" borderId="4" xfId="0" applyFont="1" applyBorder="1" applyAlignment="1">
      <alignment horizontal="left" vertical="top"/>
    </xf>
    <xf numFmtId="0" fontId="36" fillId="0" borderId="2" xfId="0" applyFont="1" applyBorder="1" applyAlignment="1">
      <alignment horizontal="center" vertical="top"/>
    </xf>
    <xf numFmtId="0" fontId="36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36" fillId="0" borderId="3" xfId="0" applyFont="1" applyBorder="1" applyAlignment="1">
      <alignment horizontal="center" vertical="top"/>
    </xf>
    <xf numFmtId="0" fontId="36" fillId="0" borderId="4" xfId="0" applyFont="1" applyBorder="1" applyAlignment="1">
      <alignment horizontal="center" vertical="top"/>
    </xf>
    <xf numFmtId="0" fontId="36" fillId="0" borderId="5" xfId="0" applyFont="1" applyBorder="1"/>
    <xf numFmtId="9" fontId="36" fillId="0" borderId="5" xfId="0" applyNumberFormat="1" applyFont="1" applyBorder="1"/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5" fillId="8" borderId="4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7" fillId="0" borderId="0" xfId="0" applyFont="1" applyBorder="1" applyAlignment="1"/>
    <xf numFmtId="0" fontId="10" fillId="0" borderId="2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36" fillId="8" borderId="0" xfId="0" applyFont="1" applyFill="1" applyBorder="1"/>
    <xf numFmtId="0" fontId="45" fillId="0" borderId="5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/>
    <xf numFmtId="0" fontId="36" fillId="0" borderId="0" xfId="0" applyFont="1" applyAlignment="1">
      <alignment horizontal="left"/>
    </xf>
    <xf numFmtId="0" fontId="36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/>
    </xf>
    <xf numFmtId="0" fontId="7" fillId="0" borderId="5" xfId="0" applyFont="1" applyBorder="1" applyAlignment="1">
      <alignment horizontal="center" wrapText="1"/>
    </xf>
    <xf numFmtId="0" fontId="7" fillId="0" borderId="5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0" fontId="36" fillId="8" borderId="0" xfId="0" applyFont="1" applyFill="1" applyBorder="1" applyAlignment="1">
      <alignment horizontal="center" wrapText="1"/>
    </xf>
    <xf numFmtId="0" fontId="36" fillId="8" borderId="3" xfId="0" applyFont="1" applyFill="1" applyBorder="1" applyAlignment="1">
      <alignment wrapText="1"/>
    </xf>
    <xf numFmtId="0" fontId="45" fillId="0" borderId="0" xfId="0" applyFont="1" applyBorder="1" applyAlignment="1">
      <alignment horizontal="left" wrapText="1"/>
    </xf>
    <xf numFmtId="0" fontId="45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/>
    <xf numFmtId="0" fontId="37" fillId="0" borderId="2" xfId="0" applyFont="1" applyBorder="1" applyAlignment="1" quotePrefix="1">
      <alignment horizontal="center" wrapText="1"/>
    </xf>
    <xf numFmtId="0" fontId="5" fillId="0" borderId="2" xfId="0" applyFont="1" applyBorder="1" applyAlignment="1" quotePrefix="1">
      <alignment horizontal="center" wrapText="1"/>
    </xf>
    <xf numFmtId="0" fontId="37" fillId="0" borderId="2" xfId="0" applyFont="1" applyBorder="1" applyAlignment="1" quotePrefix="1">
      <alignment horizontal="left" wrapText="1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Обычный 2 2" xfId="7"/>
    <cellStyle name="Запятая" xfId="8" builtinId="3"/>
    <cellStyle name="40% — Акцент6" xfId="9" builtinId="51"/>
    <cellStyle name="Процент" xfId="10" builtinId="5"/>
    <cellStyle name="20% — Акцент2" xfId="11" builtinId="34"/>
    <cellStyle name="Итого" xfId="12" builtinId="25"/>
    <cellStyle name="Вывод" xfId="13" builtinId="21"/>
    <cellStyle name="Гиперссылка" xfId="14" builtinId="8"/>
    <cellStyle name="40% — Акцент4" xfId="15" builtinId="43"/>
    <cellStyle name="Открывавшаяся гиперссылка" xfId="16" builtinId="9"/>
    <cellStyle name="Примечание" xfId="17" builtinId="10"/>
    <cellStyle name="Предупреждающий текст" xfId="18" builtinId="11"/>
    <cellStyle name="Заголовок" xfId="19" builtinId="15"/>
    <cellStyle name="Пояснительный текст" xfId="20" builtinId="53"/>
    <cellStyle name="Заголовок 1" xfId="21" builtinId="16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Обычный 2" xfId="42"/>
    <cellStyle name="40% — Акцент3" xfId="43" builtinId="39"/>
    <cellStyle name="60% — Акцент3" xfId="44" builtinId="40"/>
    <cellStyle name="Акцент4" xfId="45" builtinId="41"/>
    <cellStyle name="20% — Акцент4" xfId="46" builtinId="42"/>
    <cellStyle name="60% — Акцент4" xfId="47" builtinId="44"/>
    <cellStyle name="60% — Акцент5" xfId="48" builtinId="48"/>
    <cellStyle name="Акцент6" xfId="49" builtinId="49"/>
    <cellStyle name="60% — Акцент6" xfId="50" builtinId="52"/>
  </cellStyles>
  <tableStyles count="0" defaultTableStyle="TableStyleMedium9" defaultPivotStyle="PivotStyleLight16"/>
  <colors>
    <mruColors>
      <color rgb="0066FFFF"/>
      <color rgb="00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92;&#1072;&#1081;&#1083;&#1099;%20&#1086;&#1073;&#1084;&#1077;&#1085;&#1072;\&#1054;&#1041;&#1065;&#1048;&#1045;%20&#1044;&#1054;&#1050;&#1059;&#1052;&#1045;&#1053;&#1058;&#1067;\&#1088;&#1072;&#1073;&#1086;&#1095;&#1080;&#1081;%202018\&#1084;&#1079;\Users\&#1055;&#1086;&#1083;&#1100;&#1079;&#1086;&#1074;&#1072;&#1090;&#1077;&#1083;&#1100;\Downloads\Documents%20and%20Settings\ermolaeva\&#1056;&#1072;&#1073;&#1086;&#1095;&#1080;&#1081;%20&#1089;&#1090;&#1086;&#1083;\2015%20&#1075;&#1086;&#1076;\&#1084;&#1091;&#1085;&#1080;&#1094;&#1080;&#1087;&#1072;&#1083;&#1100;&#1085;&#1086;&#1077;%20&#1079;&#1072;&#1076;&#1072;&#1085;&#1080;&#1077;\&#1089;&#1072;&#1076;%2089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н.задание"/>
      <sheetName val="вспомогательная таблица"/>
      <sheetName val="прил.1+2"/>
      <sheetName val="прил.3"/>
      <sheetName val="прил.4"/>
      <sheetName val="прил.5"/>
      <sheetName val="прил.6"/>
      <sheetName val="свод "/>
      <sheetName val="проверка"/>
      <sheetName val="касса"/>
      <sheetName val="отчет 1433-2"/>
      <sheetName val="отчет1433-1"/>
      <sheetName val="1433-9мес"/>
      <sheetName val="касса 2014"/>
      <sheetName val="1433"/>
    </sheetNames>
    <sheetDataSet>
      <sheetData sheetId="0"/>
      <sheetData sheetId="1" refreshError="1"/>
      <sheetData sheetId="2"/>
      <sheetData sheetId="3"/>
      <sheetData sheetId="4" refreshError="1"/>
      <sheetData sheetId="5">
        <row r="31">
          <cell r="B31" t="str">
            <v>вывоз жидких бытовых отходов и объемов жидких бытовых отходов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56"/>
  <sheetViews>
    <sheetView view="pageBreakPreview" zoomScaleNormal="100" topLeftCell="A162" workbookViewId="0">
      <selection activeCell="A253" sqref="A253:R253"/>
    </sheetView>
  </sheetViews>
  <sheetFormatPr defaultColWidth="9.14285714285714" defaultRowHeight="15"/>
  <cols>
    <col min="1" max="1" width="17.4285714285714" style="397" customWidth="1"/>
    <col min="2" max="2" width="10.8571428571429" style="397" customWidth="1"/>
    <col min="3" max="3" width="11.2857142857143" style="397" customWidth="1"/>
    <col min="4" max="5" width="10.4285714285714" style="397" customWidth="1"/>
    <col min="6" max="6" width="10.5714285714286" style="397" customWidth="1"/>
    <col min="7" max="7" width="10.4285714285714" style="397" customWidth="1"/>
    <col min="8" max="8" width="12.2857142857143" style="397" customWidth="1"/>
    <col min="9" max="9" width="20.7142857142857" style="397" customWidth="1"/>
    <col min="10" max="10" width="6" style="397" customWidth="1"/>
    <col min="11" max="11" width="7.28571428571429" style="397" customWidth="1"/>
    <col min="12" max="12" width="8.71428571428571" style="397" customWidth="1"/>
    <col min="13" max="13" width="10.5714285714286" style="397" customWidth="1"/>
    <col min="14" max="14" width="11.1428571428571" style="397" customWidth="1"/>
    <col min="15" max="16" width="9.28571428571429" style="397" customWidth="1"/>
    <col min="17" max="16384" width="9.14285714285714" style="397"/>
  </cols>
  <sheetData>
    <row r="1" spans="12:12">
      <c r="L1" s="397" t="s">
        <v>0</v>
      </c>
    </row>
    <row r="2" spans="12:12">
      <c r="L2" s="397" t="s">
        <v>1</v>
      </c>
    </row>
    <row r="3" spans="12:12">
      <c r="L3" s="397" t="s">
        <v>2</v>
      </c>
    </row>
    <row r="4" spans="12:12">
      <c r="L4" s="397" t="s">
        <v>3</v>
      </c>
    </row>
    <row r="5" spans="12:15">
      <c r="L5" s="421" t="s">
        <v>4</v>
      </c>
      <c r="M5" s="422"/>
      <c r="N5" s="421"/>
      <c r="O5" s="416"/>
    </row>
    <row r="8" s="388" customFormat="1" spans="1:16">
      <c r="A8" s="398" t="s">
        <v>5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</row>
    <row r="9" spans="1:16">
      <c r="A9" s="399" t="s">
        <v>6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</row>
    <row r="10" spans="1:16">
      <c r="A10" s="399"/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423" t="s">
        <v>7</v>
      </c>
      <c r="P10" s="423"/>
    </row>
    <row r="11" spans="13:16">
      <c r="M11" s="424" t="s">
        <v>8</v>
      </c>
      <c r="N11" s="425"/>
      <c r="O11" s="426" t="s">
        <v>9</v>
      </c>
      <c r="P11" s="426"/>
    </row>
    <row r="12" spans="13:16">
      <c r="M12" s="424" t="s">
        <v>10</v>
      </c>
      <c r="N12" s="425"/>
      <c r="O12" s="427">
        <v>43839</v>
      </c>
      <c r="P12" s="423"/>
    </row>
    <row r="13" spans="1:16">
      <c r="A13" s="397" t="s">
        <v>11</v>
      </c>
      <c r="M13" s="424" t="s">
        <v>12</v>
      </c>
      <c r="N13" s="425"/>
      <c r="O13" s="428"/>
      <c r="P13" s="429"/>
    </row>
    <row r="14" ht="27.75" customHeight="1" spans="1:16">
      <c r="A14" s="400" t="s">
        <v>13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30" t="s">
        <v>14</v>
      </c>
      <c r="N14" s="431"/>
      <c r="O14" s="428"/>
      <c r="P14" s="429"/>
    </row>
    <row r="15" spans="1:16">
      <c r="A15" s="390" t="s">
        <v>15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432"/>
      <c r="N15" s="432" t="s">
        <v>16</v>
      </c>
      <c r="O15" s="433" t="s">
        <v>17</v>
      </c>
      <c r="P15" s="433"/>
    </row>
    <row r="16" spans="1:16">
      <c r="A16" s="401" t="s">
        <v>18</v>
      </c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32"/>
      <c r="N16" s="432" t="s">
        <v>16</v>
      </c>
      <c r="O16" s="433"/>
      <c r="P16" s="433"/>
    </row>
    <row r="17" spans="1:16">
      <c r="A17" s="402"/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32"/>
      <c r="N17" s="432" t="s">
        <v>16</v>
      </c>
      <c r="O17" s="433"/>
      <c r="P17" s="433"/>
    </row>
    <row r="18" spans="1:16">
      <c r="A18" s="397" t="s">
        <v>19</v>
      </c>
      <c r="O18" s="423"/>
      <c r="P18" s="423"/>
    </row>
    <row r="19" spans="1:16">
      <c r="A19" s="401" t="s">
        <v>20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O19" s="423"/>
      <c r="P19" s="423"/>
    </row>
    <row r="20" spans="1:12">
      <c r="A20" s="403" t="s">
        <v>21</v>
      </c>
      <c r="B20" s="403"/>
      <c r="C20" s="403"/>
      <c r="D20" s="403"/>
      <c r="E20" s="403"/>
      <c r="F20" s="403"/>
      <c r="G20" s="403"/>
      <c r="H20" s="403"/>
      <c r="I20" s="403"/>
      <c r="J20" s="403"/>
      <c r="K20" s="404"/>
      <c r="L20" s="404"/>
    </row>
    <row r="23" spans="1:16">
      <c r="A23" s="399" t="s">
        <v>22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</row>
    <row r="24" spans="1:16">
      <c r="A24" s="399" t="s">
        <v>23</v>
      </c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</row>
    <row r="26" customHeight="1" spans="1:16">
      <c r="A26" s="397" t="s">
        <v>24</v>
      </c>
      <c r="E26" s="401" t="s">
        <v>25</v>
      </c>
      <c r="F26" s="401"/>
      <c r="G26" s="401"/>
      <c r="H26" s="401"/>
      <c r="I26" s="401"/>
      <c r="J26" s="401"/>
      <c r="K26" s="401"/>
      <c r="L26" s="401"/>
      <c r="M26" s="434" t="s">
        <v>26</v>
      </c>
      <c r="N26" s="435"/>
      <c r="O26" s="436" t="s">
        <v>27</v>
      </c>
      <c r="P26" s="436"/>
    </row>
    <row r="27" spans="1:16">
      <c r="A27" s="401" t="s">
        <v>28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34"/>
      <c r="N27" s="435"/>
      <c r="O27" s="436"/>
      <c r="P27" s="436"/>
    </row>
    <row r="28" ht="25.5" customHeight="1" spans="1:16">
      <c r="A28" s="397" t="s">
        <v>29</v>
      </c>
      <c r="M28" s="434"/>
      <c r="N28" s="435"/>
      <c r="O28" s="436"/>
      <c r="P28" s="436"/>
    </row>
    <row r="29" spans="1:14">
      <c r="A29" s="401" t="s">
        <v>30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</row>
    <row r="30" spans="1:14">
      <c r="A30" s="402"/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</row>
    <row r="31" spans="1:14">
      <c r="A31" s="404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</row>
    <row r="32" spans="1:1">
      <c r="A32" s="397" t="s">
        <v>31</v>
      </c>
    </row>
    <row r="34" spans="1:1">
      <c r="A34" s="397" t="s">
        <v>32</v>
      </c>
    </row>
    <row r="36" s="389" customFormat="1" ht="68.25" customHeight="1" spans="1:18">
      <c r="A36" s="405" t="s">
        <v>33</v>
      </c>
      <c r="B36" s="405"/>
      <c r="C36" s="406" t="s">
        <v>34</v>
      </c>
      <c r="D36" s="407"/>
      <c r="E36" s="408"/>
      <c r="F36" s="405" t="s">
        <v>35</v>
      </c>
      <c r="G36" s="405"/>
      <c r="H36" s="405" t="s">
        <v>36</v>
      </c>
      <c r="I36" s="405"/>
      <c r="J36" s="405"/>
      <c r="K36" s="405"/>
      <c r="L36" s="405"/>
      <c r="M36" s="405" t="s">
        <v>37</v>
      </c>
      <c r="N36" s="405"/>
      <c r="O36" s="405"/>
      <c r="P36" s="405"/>
      <c r="Q36" s="417" t="s">
        <v>38</v>
      </c>
      <c r="R36" s="417"/>
    </row>
    <row r="37" s="389" customFormat="1" ht="24.75" customHeight="1" spans="1:18">
      <c r="A37" s="405"/>
      <c r="B37" s="405"/>
      <c r="C37" s="405" t="s">
        <v>39</v>
      </c>
      <c r="D37" s="405" t="s">
        <v>39</v>
      </c>
      <c r="E37" s="405" t="s">
        <v>39</v>
      </c>
      <c r="F37" s="405" t="s">
        <v>39</v>
      </c>
      <c r="G37" s="405" t="s">
        <v>39</v>
      </c>
      <c r="H37" s="405" t="s">
        <v>40</v>
      </c>
      <c r="I37" s="405"/>
      <c r="J37" s="405" t="s">
        <v>41</v>
      </c>
      <c r="K37" s="405"/>
      <c r="L37" s="405"/>
      <c r="M37" s="437" t="s">
        <v>42</v>
      </c>
      <c r="N37" s="437" t="s">
        <v>43</v>
      </c>
      <c r="O37" s="438" t="s">
        <v>44</v>
      </c>
      <c r="P37" s="439"/>
      <c r="Q37" s="417" t="s">
        <v>45</v>
      </c>
      <c r="R37" s="454" t="s">
        <v>46</v>
      </c>
    </row>
    <row r="38" s="389" customFormat="1" ht="26.25" customHeight="1" spans="1:18">
      <c r="A38" s="405"/>
      <c r="B38" s="405"/>
      <c r="C38" s="405"/>
      <c r="D38" s="405"/>
      <c r="E38" s="405"/>
      <c r="F38" s="405"/>
      <c r="G38" s="405"/>
      <c r="H38" s="405"/>
      <c r="I38" s="405"/>
      <c r="J38" s="440" t="s">
        <v>47</v>
      </c>
      <c r="K38" s="441"/>
      <c r="L38" s="405" t="s">
        <v>48</v>
      </c>
      <c r="M38" s="442"/>
      <c r="N38" s="442"/>
      <c r="O38" s="443"/>
      <c r="P38" s="444"/>
      <c r="Q38" s="417"/>
      <c r="R38" s="455"/>
    </row>
    <row r="39" s="389" customFormat="1" ht="11.25" spans="1:18">
      <c r="A39" s="409">
        <v>1</v>
      </c>
      <c r="B39" s="409"/>
      <c r="C39" s="409">
        <v>2</v>
      </c>
      <c r="D39" s="409">
        <v>3</v>
      </c>
      <c r="E39" s="409">
        <v>4</v>
      </c>
      <c r="F39" s="409">
        <v>5</v>
      </c>
      <c r="G39" s="409">
        <v>6</v>
      </c>
      <c r="H39" s="409">
        <v>7</v>
      </c>
      <c r="I39" s="409"/>
      <c r="J39" s="440">
        <v>8</v>
      </c>
      <c r="K39" s="441"/>
      <c r="L39" s="409">
        <v>9</v>
      </c>
      <c r="M39" s="409">
        <v>10</v>
      </c>
      <c r="N39" s="409">
        <v>11</v>
      </c>
      <c r="O39" s="409">
        <v>12</v>
      </c>
      <c r="P39" s="409"/>
      <c r="Q39" s="418">
        <v>13</v>
      </c>
      <c r="R39" s="456">
        <v>14</v>
      </c>
    </row>
    <row r="40" s="389" customFormat="1" ht="120.75" customHeight="1" spans="1:18">
      <c r="A40" s="540" t="s">
        <v>49</v>
      </c>
      <c r="B40" s="411"/>
      <c r="C40" s="412" t="s">
        <v>50</v>
      </c>
      <c r="D40" s="412" t="s">
        <v>50</v>
      </c>
      <c r="E40" s="412" t="s">
        <v>51</v>
      </c>
      <c r="F40" s="412" t="s">
        <v>52</v>
      </c>
      <c r="G40" s="412" t="s">
        <v>53</v>
      </c>
      <c r="H40" s="413" t="s">
        <v>54</v>
      </c>
      <c r="I40" s="445"/>
      <c r="J40" s="410" t="s">
        <v>55</v>
      </c>
      <c r="K40" s="411"/>
      <c r="L40" s="412" t="s">
        <v>56</v>
      </c>
      <c r="M40" s="412"/>
      <c r="N40" s="412"/>
      <c r="O40" s="446"/>
      <c r="P40" s="446"/>
      <c r="Q40" s="457"/>
      <c r="R40" s="457"/>
    </row>
    <row r="41" s="389" customFormat="1" ht="120" customHeight="1" spans="1:18">
      <c r="A41" s="541" t="s">
        <v>57</v>
      </c>
      <c r="B41" s="415"/>
      <c r="C41" s="412" t="s">
        <v>50</v>
      </c>
      <c r="D41" s="412" t="s">
        <v>50</v>
      </c>
      <c r="E41" s="412" t="s">
        <v>58</v>
      </c>
      <c r="F41" s="412" t="s">
        <v>52</v>
      </c>
      <c r="G41" s="412" t="s">
        <v>53</v>
      </c>
      <c r="H41" s="413" t="s">
        <v>59</v>
      </c>
      <c r="I41" s="445"/>
      <c r="J41" s="410" t="s">
        <v>55</v>
      </c>
      <c r="K41" s="411"/>
      <c r="L41" s="412" t="s">
        <v>56</v>
      </c>
      <c r="M41" s="412"/>
      <c r="N41" s="412"/>
      <c r="O41" s="446"/>
      <c r="P41" s="446"/>
      <c r="Q41" s="457"/>
      <c r="R41" s="457"/>
    </row>
    <row r="43" s="390" customFormat="1"/>
    <row r="44" s="390" customFormat="1" spans="4:4">
      <c r="D44" s="416"/>
    </row>
    <row r="45" s="390" customFormat="1" spans="4:4">
      <c r="D45" s="416"/>
    </row>
    <row r="46" spans="1:1">
      <c r="A46" s="397" t="s">
        <v>60</v>
      </c>
    </row>
    <row r="48" s="389" customFormat="1" ht="69" customHeight="1" spans="1:18">
      <c r="A48" s="405" t="s">
        <v>61</v>
      </c>
      <c r="B48" s="405"/>
      <c r="C48" s="406" t="s">
        <v>34</v>
      </c>
      <c r="D48" s="407"/>
      <c r="E48" s="408"/>
      <c r="F48" s="405" t="s">
        <v>35</v>
      </c>
      <c r="G48" s="405"/>
      <c r="H48" s="417" t="s">
        <v>62</v>
      </c>
      <c r="I48" s="417"/>
      <c r="J48" s="417"/>
      <c r="K48" s="417" t="s">
        <v>63</v>
      </c>
      <c r="L48" s="417"/>
      <c r="M48" s="417"/>
      <c r="N48" s="447" t="s">
        <v>64</v>
      </c>
      <c r="O48" s="447"/>
      <c r="P48" s="448"/>
      <c r="Q48" s="417" t="s">
        <v>65</v>
      </c>
      <c r="R48" s="417"/>
    </row>
    <row r="49" s="389" customFormat="1" ht="42" customHeight="1" spans="1:18">
      <c r="A49" s="405"/>
      <c r="B49" s="405"/>
      <c r="C49" s="405" t="s">
        <v>39</v>
      </c>
      <c r="D49" s="405" t="s">
        <v>39</v>
      </c>
      <c r="E49" s="405" t="s">
        <v>39</v>
      </c>
      <c r="F49" s="405" t="s">
        <v>39</v>
      </c>
      <c r="G49" s="405" t="s">
        <v>39</v>
      </c>
      <c r="H49" s="417" t="s">
        <v>66</v>
      </c>
      <c r="I49" s="417" t="s">
        <v>67</v>
      </c>
      <c r="J49" s="417"/>
      <c r="K49" s="449" t="s">
        <v>42</v>
      </c>
      <c r="L49" s="449" t="s">
        <v>43</v>
      </c>
      <c r="M49" s="449" t="s">
        <v>44</v>
      </c>
      <c r="N49" s="449" t="s">
        <v>42</v>
      </c>
      <c r="O49" s="449" t="s">
        <v>43</v>
      </c>
      <c r="P49" s="449" t="s">
        <v>44</v>
      </c>
      <c r="Q49" s="417" t="s">
        <v>45</v>
      </c>
      <c r="R49" s="454" t="s">
        <v>46</v>
      </c>
    </row>
    <row r="50" s="389" customFormat="1" ht="34.5" customHeight="1" spans="1:18">
      <c r="A50" s="405"/>
      <c r="B50" s="405"/>
      <c r="C50" s="405"/>
      <c r="D50" s="405"/>
      <c r="E50" s="405"/>
      <c r="F50" s="405"/>
      <c r="G50" s="405"/>
      <c r="H50" s="417"/>
      <c r="I50" s="417" t="s">
        <v>68</v>
      </c>
      <c r="J50" s="417" t="s">
        <v>69</v>
      </c>
      <c r="K50" s="450"/>
      <c r="L50" s="450"/>
      <c r="M50" s="450"/>
      <c r="N50" s="450"/>
      <c r="O50" s="450"/>
      <c r="P50" s="450"/>
      <c r="Q50" s="417"/>
      <c r="R50" s="455"/>
    </row>
    <row r="51" s="389" customFormat="1" ht="11.25" spans="1:18">
      <c r="A51" s="409">
        <v>1</v>
      </c>
      <c r="B51" s="409"/>
      <c r="C51" s="409">
        <v>2</v>
      </c>
      <c r="D51" s="409">
        <v>3</v>
      </c>
      <c r="E51" s="409">
        <v>4</v>
      </c>
      <c r="F51" s="409">
        <v>5</v>
      </c>
      <c r="G51" s="409">
        <v>6</v>
      </c>
      <c r="H51" s="418">
        <v>7</v>
      </c>
      <c r="I51" s="418">
        <v>8</v>
      </c>
      <c r="J51" s="418">
        <v>9</v>
      </c>
      <c r="K51" s="418">
        <v>10</v>
      </c>
      <c r="L51" s="418">
        <v>11</v>
      </c>
      <c r="M51" s="418">
        <v>12</v>
      </c>
      <c r="N51" s="418">
        <v>13</v>
      </c>
      <c r="O51" s="418">
        <v>14</v>
      </c>
      <c r="P51" s="418">
        <v>15</v>
      </c>
      <c r="Q51" s="418">
        <v>16</v>
      </c>
      <c r="R51" s="456">
        <v>17</v>
      </c>
    </row>
    <row r="52" s="389" customFormat="1" ht="22.5" spans="1:18">
      <c r="A52" s="541" t="str">
        <f>A40</f>
        <v>801011О.99.0БВ24ДМ62000</v>
      </c>
      <c r="B52" s="415"/>
      <c r="C52" s="412" t="s">
        <v>50</v>
      </c>
      <c r="D52" s="412" t="s">
        <v>50</v>
      </c>
      <c r="E52" s="412" t="s">
        <v>51</v>
      </c>
      <c r="F52" s="412" t="s">
        <v>52</v>
      </c>
      <c r="G52" s="412" t="s">
        <v>53</v>
      </c>
      <c r="H52" s="419" t="s">
        <v>70</v>
      </c>
      <c r="I52" s="419" t="s">
        <v>71</v>
      </c>
      <c r="J52" s="419">
        <v>792</v>
      </c>
      <c r="K52" s="451">
        <f>'проверка 2020'!I12</f>
        <v>103</v>
      </c>
      <c r="L52" s="451">
        <f>'проверка 2021 '!I12</f>
        <v>103</v>
      </c>
      <c r="M52" s="451">
        <f>проверка2022!I12</f>
        <v>103</v>
      </c>
      <c r="N52" s="452"/>
      <c r="O52" s="453"/>
      <c r="P52" s="452"/>
      <c r="Q52" s="458">
        <v>0.05</v>
      </c>
      <c r="R52" s="457"/>
    </row>
    <row r="53" s="389" customFormat="1" ht="22.5" spans="1:18">
      <c r="A53" s="541" t="str">
        <f>A41</f>
        <v>801011О.99.БВ24ДН82000</v>
      </c>
      <c r="B53" s="415"/>
      <c r="C53" s="412" t="s">
        <v>50</v>
      </c>
      <c r="D53" s="412" t="s">
        <v>50</v>
      </c>
      <c r="E53" s="412" t="s">
        <v>58</v>
      </c>
      <c r="F53" s="412" t="s">
        <v>52</v>
      </c>
      <c r="G53" s="412" t="s">
        <v>53</v>
      </c>
      <c r="H53" s="419" t="s">
        <v>70</v>
      </c>
      <c r="I53" s="419" t="s">
        <v>71</v>
      </c>
      <c r="J53" s="419">
        <v>792</v>
      </c>
      <c r="K53" s="451">
        <f>'проверка 2020'!J12</f>
        <v>532</v>
      </c>
      <c r="L53" s="451">
        <f>'проверка 2021 '!J12</f>
        <v>532</v>
      </c>
      <c r="M53" s="451">
        <f>проверка2022!J12</f>
        <v>532</v>
      </c>
      <c r="N53" s="452"/>
      <c r="O53" s="453"/>
      <c r="P53" s="452"/>
      <c r="Q53" s="458">
        <v>0.05</v>
      </c>
      <c r="R53" s="457"/>
    </row>
    <row r="55" s="390" customFormat="1" hidden="1"/>
    <row r="56" s="390" customFormat="1" hidden="1" spans="4:4">
      <c r="D56" s="416"/>
    </row>
    <row r="57" hidden="1" spans="4:4">
      <c r="D57" s="416"/>
    </row>
    <row r="58" hidden="1" spans="1:1">
      <c r="A58" s="420"/>
    </row>
    <row r="59" hidden="1"/>
    <row r="60" hidden="1"/>
    <row r="61" hidden="1"/>
    <row r="63" spans="1:1">
      <c r="A63" s="397" t="s">
        <v>72</v>
      </c>
    </row>
    <row r="65" spans="1:13">
      <c r="A65" s="423" t="s">
        <v>73</v>
      </c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</row>
    <row r="66" spans="1:13">
      <c r="A66" s="423" t="s">
        <v>74</v>
      </c>
      <c r="B66" s="423" t="s">
        <v>75</v>
      </c>
      <c r="C66" s="423"/>
      <c r="D66" s="423"/>
      <c r="E66" s="423" t="s">
        <v>76</v>
      </c>
      <c r="F66" s="423" t="s">
        <v>77</v>
      </c>
      <c r="G66" s="423" t="s">
        <v>78</v>
      </c>
      <c r="H66" s="423"/>
      <c r="I66" s="423"/>
      <c r="J66" s="423"/>
      <c r="K66" s="423"/>
      <c r="L66" s="423"/>
      <c r="M66" s="423"/>
    </row>
    <row r="67" spans="1:17">
      <c r="A67" s="459">
        <v>1</v>
      </c>
      <c r="B67" s="459">
        <v>2</v>
      </c>
      <c r="C67" s="459"/>
      <c r="D67" s="459"/>
      <c r="E67" s="459">
        <v>3</v>
      </c>
      <c r="F67" s="459">
        <v>4</v>
      </c>
      <c r="G67" s="459">
        <v>5</v>
      </c>
      <c r="H67" s="459"/>
      <c r="I67" s="459"/>
      <c r="J67" s="459"/>
      <c r="K67" s="459"/>
      <c r="L67" s="459"/>
      <c r="M67" s="459"/>
      <c r="N67" s="390"/>
      <c r="O67" s="390"/>
      <c r="P67" s="390"/>
      <c r="Q67" s="390"/>
    </row>
    <row r="68" s="391" customFormat="1" ht="33" hidden="1" customHeight="1" spans="1:13">
      <c r="A68" s="460"/>
      <c r="B68" s="461"/>
      <c r="C68" s="461"/>
      <c r="D68" s="461"/>
      <c r="E68" s="462"/>
      <c r="F68" s="460"/>
      <c r="G68" s="461"/>
      <c r="H68" s="461"/>
      <c r="I68" s="461"/>
      <c r="J68" s="461"/>
      <c r="K68" s="461"/>
      <c r="L68" s="461"/>
      <c r="M68" s="461"/>
    </row>
    <row r="69" s="392" customFormat="1" ht="36" customHeight="1" spans="1:16">
      <c r="A69" s="417" t="s">
        <v>79</v>
      </c>
      <c r="B69" s="417" t="s">
        <v>80</v>
      </c>
      <c r="C69" s="417"/>
      <c r="D69" s="417"/>
      <c r="E69" s="463">
        <v>43822</v>
      </c>
      <c r="F69" s="464" t="s">
        <v>81</v>
      </c>
      <c r="G69" s="465" t="s">
        <v>82</v>
      </c>
      <c r="H69" s="465"/>
      <c r="I69" s="465"/>
      <c r="J69" s="465"/>
      <c r="K69" s="465"/>
      <c r="L69" s="465"/>
      <c r="M69" s="465"/>
      <c r="N69" s="479"/>
      <c r="O69" s="479"/>
      <c r="P69" s="479"/>
    </row>
    <row r="70" s="392" customFormat="1" ht="42.6" customHeight="1" spans="1:16">
      <c r="A70" s="417" t="s">
        <v>79</v>
      </c>
      <c r="B70" s="417" t="s">
        <v>80</v>
      </c>
      <c r="C70" s="417"/>
      <c r="D70" s="417"/>
      <c r="E70" s="463">
        <v>43600</v>
      </c>
      <c r="F70" s="464" t="s">
        <v>83</v>
      </c>
      <c r="G70" s="465" t="s">
        <v>84</v>
      </c>
      <c r="H70" s="465"/>
      <c r="I70" s="465"/>
      <c r="J70" s="465"/>
      <c r="K70" s="465"/>
      <c r="L70" s="465"/>
      <c r="M70" s="465"/>
      <c r="N70" s="479"/>
      <c r="O70" s="479"/>
      <c r="P70" s="479"/>
    </row>
    <row r="71" hidden="1" spans="1:17">
      <c r="A71" s="466"/>
      <c r="B71" s="467"/>
      <c r="C71" s="467"/>
      <c r="D71" s="467"/>
      <c r="E71" s="466"/>
      <c r="F71" s="466"/>
      <c r="G71" s="467"/>
      <c r="H71" s="467"/>
      <c r="I71" s="467"/>
      <c r="J71" s="467"/>
      <c r="K71" s="467"/>
      <c r="L71" s="467"/>
      <c r="M71" s="467"/>
      <c r="N71" s="390"/>
      <c r="O71" s="390"/>
      <c r="P71" s="390"/>
      <c r="Q71" s="390"/>
    </row>
    <row r="74" spans="1:1">
      <c r="A74" s="397" t="s">
        <v>85</v>
      </c>
    </row>
    <row r="76" spans="1:1">
      <c r="A76" s="397" t="s">
        <v>86</v>
      </c>
    </row>
    <row r="77" ht="13.5" customHeight="1" spans="1:16">
      <c r="A77" s="468" t="s">
        <v>87</v>
      </c>
      <c r="B77" s="468"/>
      <c r="C77" s="468"/>
      <c r="D77" s="468"/>
      <c r="E77" s="468"/>
      <c r="F77" s="468"/>
      <c r="G77" s="468"/>
      <c r="H77" s="468"/>
      <c r="I77" s="468"/>
      <c r="J77" s="468"/>
      <c r="K77" s="468"/>
      <c r="L77" s="468"/>
      <c r="M77" s="468"/>
      <c r="N77" s="468"/>
      <c r="O77" s="468"/>
      <c r="P77" s="468"/>
    </row>
    <row r="78" ht="17.25" customHeight="1" spans="1:16">
      <c r="A78" s="468" t="s">
        <v>88</v>
      </c>
      <c r="B78" s="468"/>
      <c r="C78" s="468"/>
      <c r="D78" s="468"/>
      <c r="E78" s="468"/>
      <c r="F78" s="468"/>
      <c r="G78" s="468"/>
      <c r="H78" s="468"/>
      <c r="I78" s="468"/>
      <c r="J78" s="468"/>
      <c r="K78" s="468"/>
      <c r="L78" s="468"/>
      <c r="M78" s="468"/>
      <c r="N78" s="468"/>
      <c r="O78" s="468"/>
      <c r="P78" s="468"/>
    </row>
    <row r="79" ht="33.75" customHeight="1" spans="1:16">
      <c r="A79" s="468" t="s">
        <v>89</v>
      </c>
      <c r="B79" s="468"/>
      <c r="C79" s="468"/>
      <c r="D79" s="468"/>
      <c r="E79" s="468"/>
      <c r="F79" s="468"/>
      <c r="G79" s="468"/>
      <c r="H79" s="468"/>
      <c r="I79" s="468"/>
      <c r="J79" s="468"/>
      <c r="K79" s="468"/>
      <c r="L79" s="468"/>
      <c r="M79" s="468"/>
      <c r="N79" s="468"/>
      <c r="O79" s="468"/>
      <c r="P79" s="468"/>
    </row>
    <row r="80" ht="33.75" customHeight="1" spans="1:16">
      <c r="A80" s="468" t="s">
        <v>90</v>
      </c>
      <c r="B80" s="468"/>
      <c r="C80" s="468"/>
      <c r="D80" s="468"/>
      <c r="E80" s="468"/>
      <c r="F80" s="468"/>
      <c r="G80" s="468"/>
      <c r="H80" s="468"/>
      <c r="I80" s="468"/>
      <c r="J80" s="468"/>
      <c r="K80" s="468"/>
      <c r="L80" s="468"/>
      <c r="M80" s="468"/>
      <c r="N80" s="468"/>
      <c r="O80" s="468"/>
      <c r="P80" s="468"/>
    </row>
    <row r="81" ht="45.75" customHeight="1" spans="1:16">
      <c r="A81" s="468" t="s">
        <v>91</v>
      </c>
      <c r="B81" s="468"/>
      <c r="C81" s="468"/>
      <c r="D81" s="468"/>
      <c r="E81" s="468"/>
      <c r="F81" s="468"/>
      <c r="G81" s="468"/>
      <c r="H81" s="468"/>
      <c r="I81" s="468"/>
      <c r="J81" s="468"/>
      <c r="K81" s="468"/>
      <c r="L81" s="468"/>
      <c r="M81" s="468"/>
      <c r="N81" s="468"/>
      <c r="O81" s="468"/>
      <c r="P81" s="468"/>
    </row>
    <row r="82" ht="13.5" customHeight="1" spans="1:16">
      <c r="A82" s="468"/>
      <c r="B82" s="468"/>
      <c r="C82" s="468"/>
      <c r="D82" s="468"/>
      <c r="E82" s="468"/>
      <c r="F82" s="468"/>
      <c r="G82" s="468"/>
      <c r="H82" s="468"/>
      <c r="I82" s="468"/>
      <c r="J82" s="468"/>
      <c r="K82" s="468"/>
      <c r="L82" s="468"/>
      <c r="M82" s="468"/>
      <c r="N82" s="468"/>
      <c r="O82" s="468"/>
      <c r="P82" s="468"/>
    </row>
    <row r="83" spans="1:12">
      <c r="A83" s="469" t="s">
        <v>92</v>
      </c>
      <c r="B83" s="469"/>
      <c r="C83" s="469"/>
      <c r="D83" s="469"/>
      <c r="E83" s="469"/>
      <c r="F83" s="469"/>
      <c r="G83" s="469"/>
      <c r="H83" s="469"/>
      <c r="I83" s="469"/>
      <c r="J83" s="469"/>
      <c r="K83" s="469"/>
      <c r="L83" s="469"/>
    </row>
    <row r="86" spans="1:1">
      <c r="A86" s="397" t="s">
        <v>93</v>
      </c>
    </row>
    <row r="88" spans="1:11">
      <c r="A88" s="423" t="s">
        <v>94</v>
      </c>
      <c r="B88" s="423"/>
      <c r="C88" s="423"/>
      <c r="D88" s="423" t="s">
        <v>95</v>
      </c>
      <c r="E88" s="423"/>
      <c r="F88" s="423"/>
      <c r="G88" s="423"/>
      <c r="H88" s="423" t="s">
        <v>96</v>
      </c>
      <c r="I88" s="423"/>
      <c r="J88" s="423"/>
      <c r="K88" s="423"/>
    </row>
    <row r="89" spans="1:11">
      <c r="A89" s="470">
        <v>1</v>
      </c>
      <c r="B89" s="470"/>
      <c r="C89" s="470"/>
      <c r="D89" s="470">
        <v>2</v>
      </c>
      <c r="E89" s="470"/>
      <c r="F89" s="470"/>
      <c r="G89" s="470"/>
      <c r="H89" s="470">
        <v>3</v>
      </c>
      <c r="I89" s="470"/>
      <c r="J89" s="470"/>
      <c r="K89" s="470"/>
    </row>
    <row r="90" ht="327.75" customHeight="1" spans="1:11">
      <c r="A90" s="471" t="s">
        <v>97</v>
      </c>
      <c r="B90" s="472"/>
      <c r="C90" s="473"/>
      <c r="D90" s="474" t="s">
        <v>98</v>
      </c>
      <c r="E90" s="475"/>
      <c r="F90" s="475"/>
      <c r="G90" s="476"/>
      <c r="H90" s="477" t="s">
        <v>99</v>
      </c>
      <c r="I90" s="480"/>
      <c r="J90" s="480"/>
      <c r="K90" s="481"/>
    </row>
    <row r="91" hidden="1" spans="1:11">
      <c r="A91" s="428"/>
      <c r="B91" s="402"/>
      <c r="C91" s="429"/>
      <c r="D91" s="428"/>
      <c r="E91" s="402"/>
      <c r="F91" s="402"/>
      <c r="G91" s="429"/>
      <c r="H91" s="428"/>
      <c r="I91" s="402"/>
      <c r="J91" s="402"/>
      <c r="K91" s="429"/>
    </row>
    <row r="93" spans="1:16">
      <c r="A93" s="399" t="s">
        <v>100</v>
      </c>
      <c r="B93" s="399"/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</row>
    <row r="95" spans="1:16">
      <c r="A95" s="397" t="s">
        <v>24</v>
      </c>
      <c r="E95" s="401" t="s">
        <v>101</v>
      </c>
      <c r="F95" s="401"/>
      <c r="G95" s="401"/>
      <c r="H95" s="401"/>
      <c r="I95" s="401"/>
      <c r="J95" s="401"/>
      <c r="K95" s="401"/>
      <c r="L95" s="401"/>
      <c r="M95" s="434" t="s">
        <v>26</v>
      </c>
      <c r="N95" s="435"/>
      <c r="O95" s="436" t="s">
        <v>102</v>
      </c>
      <c r="P95" s="436"/>
    </row>
    <row r="96" spans="1:16">
      <c r="A96" s="478"/>
      <c r="B96" s="478"/>
      <c r="C96" s="478"/>
      <c r="D96" s="478"/>
      <c r="E96" s="478"/>
      <c r="F96" s="478"/>
      <c r="G96" s="478"/>
      <c r="H96" s="478"/>
      <c r="I96" s="478"/>
      <c r="J96" s="478"/>
      <c r="K96" s="478"/>
      <c r="L96" s="478"/>
      <c r="M96" s="434"/>
      <c r="N96" s="435"/>
      <c r="O96" s="436"/>
      <c r="P96" s="436"/>
    </row>
    <row r="97" ht="27" customHeight="1" spans="1:16">
      <c r="A97" s="397" t="s">
        <v>29</v>
      </c>
      <c r="M97" s="434"/>
      <c r="N97" s="435"/>
      <c r="O97" s="436"/>
      <c r="P97" s="436"/>
    </row>
    <row r="98" ht="21.75" customHeight="1" spans="1:14">
      <c r="A98" s="401" t="s">
        <v>30</v>
      </c>
      <c r="B98" s="401"/>
      <c r="C98" s="401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</row>
    <row r="99" spans="1:14">
      <c r="A99" s="402"/>
      <c r="B99" s="402"/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</row>
    <row r="100" spans="1:14">
      <c r="A100" s="404"/>
      <c r="B100" s="404"/>
      <c r="C100" s="404"/>
      <c r="D100" s="404"/>
      <c r="E100" s="404"/>
      <c r="F100" s="404"/>
      <c r="G100" s="404"/>
      <c r="H100" s="404"/>
      <c r="I100" s="404"/>
      <c r="J100" s="404"/>
      <c r="K100" s="404"/>
      <c r="L100" s="404"/>
      <c r="M100" s="404"/>
      <c r="N100" s="404"/>
    </row>
    <row r="101" spans="1:1">
      <c r="A101" s="397" t="s">
        <v>31</v>
      </c>
    </row>
    <row r="103" spans="1:1">
      <c r="A103" s="397" t="s">
        <v>103</v>
      </c>
    </row>
    <row r="105" ht="58.9" customHeight="1" spans="1:18">
      <c r="A105" s="405" t="s">
        <v>33</v>
      </c>
      <c r="B105" s="405"/>
      <c r="C105" s="406" t="s">
        <v>34</v>
      </c>
      <c r="D105" s="407"/>
      <c r="E105" s="408"/>
      <c r="F105" s="405" t="s">
        <v>35</v>
      </c>
      <c r="G105" s="405"/>
      <c r="H105" s="405" t="s">
        <v>36</v>
      </c>
      <c r="I105" s="405"/>
      <c r="J105" s="405"/>
      <c r="K105" s="405"/>
      <c r="L105" s="405"/>
      <c r="M105" s="405" t="s">
        <v>37</v>
      </c>
      <c r="N105" s="405"/>
      <c r="O105" s="405"/>
      <c r="P105" s="405"/>
      <c r="Q105" s="417" t="s">
        <v>38</v>
      </c>
      <c r="R105" s="417"/>
    </row>
    <row r="106" ht="24.75" customHeight="1" spans="1:18">
      <c r="A106" s="405"/>
      <c r="B106" s="405"/>
      <c r="C106" s="405" t="s">
        <v>39</v>
      </c>
      <c r="D106" s="405" t="s">
        <v>39</v>
      </c>
      <c r="E106" s="405" t="s">
        <v>39</v>
      </c>
      <c r="F106" s="405" t="s">
        <v>39</v>
      </c>
      <c r="G106" s="405" t="s">
        <v>39</v>
      </c>
      <c r="H106" s="405" t="s">
        <v>40</v>
      </c>
      <c r="I106" s="405"/>
      <c r="J106" s="405" t="s">
        <v>41</v>
      </c>
      <c r="K106" s="405"/>
      <c r="L106" s="405"/>
      <c r="M106" s="437" t="s">
        <v>42</v>
      </c>
      <c r="N106" s="437" t="s">
        <v>43</v>
      </c>
      <c r="O106" s="438" t="s">
        <v>44</v>
      </c>
      <c r="P106" s="439"/>
      <c r="Q106" s="417" t="s">
        <v>45</v>
      </c>
      <c r="R106" s="454" t="s">
        <v>46</v>
      </c>
    </row>
    <row r="107" ht="21.6" customHeight="1" spans="1:18">
      <c r="A107" s="405"/>
      <c r="B107" s="405"/>
      <c r="C107" s="405"/>
      <c r="D107" s="405"/>
      <c r="E107" s="405"/>
      <c r="F107" s="405"/>
      <c r="G107" s="405"/>
      <c r="H107" s="405"/>
      <c r="I107" s="405"/>
      <c r="J107" s="440" t="s">
        <v>47</v>
      </c>
      <c r="K107" s="441"/>
      <c r="L107" s="405" t="s">
        <v>48</v>
      </c>
      <c r="M107" s="442"/>
      <c r="N107" s="442"/>
      <c r="O107" s="443"/>
      <c r="P107" s="444"/>
      <c r="Q107" s="417"/>
      <c r="R107" s="455"/>
    </row>
    <row r="108" spans="1:18">
      <c r="A108" s="409">
        <v>1</v>
      </c>
      <c r="B108" s="409"/>
      <c r="C108" s="409">
        <v>2</v>
      </c>
      <c r="D108" s="409">
        <v>3</v>
      </c>
      <c r="E108" s="409">
        <v>4</v>
      </c>
      <c r="F108" s="409">
        <v>5</v>
      </c>
      <c r="G108" s="409">
        <v>6</v>
      </c>
      <c r="H108" s="409">
        <v>7</v>
      </c>
      <c r="I108" s="409"/>
      <c r="J108" s="440">
        <v>8</v>
      </c>
      <c r="K108" s="441"/>
      <c r="L108" s="409">
        <v>9</v>
      </c>
      <c r="M108" s="409">
        <v>10</v>
      </c>
      <c r="N108" s="409">
        <v>11</v>
      </c>
      <c r="O108" s="409">
        <v>12</v>
      </c>
      <c r="P108" s="409"/>
      <c r="Q108" s="418">
        <v>13</v>
      </c>
      <c r="R108" s="456">
        <v>14</v>
      </c>
    </row>
    <row r="109" ht="42.6" customHeight="1" spans="1:18">
      <c r="A109" s="542" t="s">
        <v>104</v>
      </c>
      <c r="B109" s="445"/>
      <c r="C109" s="412" t="s">
        <v>105</v>
      </c>
      <c r="D109" s="412" t="s">
        <v>51</v>
      </c>
      <c r="E109" s="412"/>
      <c r="F109" s="412" t="s">
        <v>50</v>
      </c>
      <c r="G109" s="412"/>
      <c r="H109" s="413" t="s">
        <v>106</v>
      </c>
      <c r="I109" s="445"/>
      <c r="J109" s="410" t="s">
        <v>107</v>
      </c>
      <c r="K109" s="411"/>
      <c r="L109" s="446">
        <v>744</v>
      </c>
      <c r="M109" s="412"/>
      <c r="N109" s="412"/>
      <c r="O109" s="410"/>
      <c r="P109" s="411"/>
      <c r="Q109" s="482"/>
      <c r="R109" s="482"/>
    </row>
    <row r="110" ht="43.9" customHeight="1" spans="1:18">
      <c r="A110" s="542" t="s">
        <v>108</v>
      </c>
      <c r="B110" s="445"/>
      <c r="C110" s="412" t="s">
        <v>105</v>
      </c>
      <c r="D110" s="412" t="s">
        <v>58</v>
      </c>
      <c r="E110" s="412"/>
      <c r="F110" s="412" t="s">
        <v>50</v>
      </c>
      <c r="G110" s="412"/>
      <c r="H110" s="413" t="s">
        <v>109</v>
      </c>
      <c r="I110" s="445"/>
      <c r="J110" s="410" t="s">
        <v>107</v>
      </c>
      <c r="K110" s="411"/>
      <c r="L110" s="446">
        <v>744</v>
      </c>
      <c r="M110" s="412"/>
      <c r="N110" s="412"/>
      <c r="O110" s="410"/>
      <c r="P110" s="411"/>
      <c r="Q110" s="482"/>
      <c r="R110" s="482"/>
    </row>
    <row r="111" ht="31.15" hidden="1" customHeight="1" spans="1:18">
      <c r="A111" s="542" t="s">
        <v>110</v>
      </c>
      <c r="B111" s="445"/>
      <c r="C111" s="412" t="s">
        <v>111</v>
      </c>
      <c r="D111" s="412" t="s">
        <v>51</v>
      </c>
      <c r="E111" s="412"/>
      <c r="F111" s="412" t="s">
        <v>50</v>
      </c>
      <c r="G111" s="412"/>
      <c r="H111" s="413" t="s">
        <v>106</v>
      </c>
      <c r="I111" s="445"/>
      <c r="J111" s="410" t="s">
        <v>107</v>
      </c>
      <c r="K111" s="411"/>
      <c r="L111" s="446">
        <v>744</v>
      </c>
      <c r="M111" s="412"/>
      <c r="N111" s="412"/>
      <c r="O111" s="410"/>
      <c r="P111" s="411"/>
      <c r="Q111" s="482"/>
      <c r="R111" s="482"/>
    </row>
    <row r="112" ht="31.15" customHeight="1" spans="1:18">
      <c r="A112" s="542" t="s">
        <v>112</v>
      </c>
      <c r="B112" s="445"/>
      <c r="C112" s="412" t="s">
        <v>111</v>
      </c>
      <c r="D112" s="412" t="s">
        <v>58</v>
      </c>
      <c r="E112" s="412"/>
      <c r="F112" s="412" t="s">
        <v>50</v>
      </c>
      <c r="G112" s="412"/>
      <c r="H112" s="413" t="s">
        <v>109</v>
      </c>
      <c r="I112" s="445"/>
      <c r="J112" s="410" t="s">
        <v>107</v>
      </c>
      <c r="K112" s="411"/>
      <c r="L112" s="446">
        <v>744</v>
      </c>
      <c r="M112" s="412"/>
      <c r="N112" s="412"/>
      <c r="O112" s="410"/>
      <c r="P112" s="411"/>
      <c r="Q112" s="482"/>
      <c r="R112" s="482"/>
    </row>
    <row r="114" s="390" customFormat="1"/>
    <row r="115" s="390" customFormat="1" spans="4:4">
      <c r="D115" s="416"/>
    </row>
    <row r="116" spans="4:4">
      <c r="D116" s="416"/>
    </row>
    <row r="118" spans="1:1">
      <c r="A118" s="397" t="s">
        <v>60</v>
      </c>
    </row>
    <row r="120" ht="65.25" customHeight="1" spans="1:18">
      <c r="A120" s="405" t="s">
        <v>61</v>
      </c>
      <c r="B120" s="405"/>
      <c r="C120" s="406" t="s">
        <v>34</v>
      </c>
      <c r="D120" s="407"/>
      <c r="E120" s="408"/>
      <c r="F120" s="405" t="s">
        <v>35</v>
      </c>
      <c r="G120" s="405"/>
      <c r="H120" s="417" t="s">
        <v>62</v>
      </c>
      <c r="I120" s="417"/>
      <c r="J120" s="417"/>
      <c r="K120" s="417" t="s">
        <v>63</v>
      </c>
      <c r="L120" s="417"/>
      <c r="M120" s="417"/>
      <c r="N120" s="447" t="s">
        <v>64</v>
      </c>
      <c r="O120" s="447"/>
      <c r="P120" s="448"/>
      <c r="Q120" s="417" t="s">
        <v>65</v>
      </c>
      <c r="R120" s="417"/>
    </row>
    <row r="121" ht="42" customHeight="1" spans="1:18">
      <c r="A121" s="405"/>
      <c r="B121" s="405"/>
      <c r="C121" s="405" t="s">
        <v>39</v>
      </c>
      <c r="D121" s="405" t="s">
        <v>39</v>
      </c>
      <c r="E121" s="405" t="s">
        <v>39</v>
      </c>
      <c r="F121" s="405" t="s">
        <v>39</v>
      </c>
      <c r="G121" s="405" t="s">
        <v>39</v>
      </c>
      <c r="H121" s="417" t="s">
        <v>66</v>
      </c>
      <c r="I121" s="417" t="s">
        <v>67</v>
      </c>
      <c r="J121" s="417"/>
      <c r="K121" s="449" t="s">
        <v>42</v>
      </c>
      <c r="L121" s="449" t="s">
        <v>43</v>
      </c>
      <c r="M121" s="449" t="s">
        <v>44</v>
      </c>
      <c r="N121" s="449" t="s">
        <v>42</v>
      </c>
      <c r="O121" s="449" t="s">
        <v>43</v>
      </c>
      <c r="P121" s="449" t="s">
        <v>44</v>
      </c>
      <c r="Q121" s="417" t="s">
        <v>45</v>
      </c>
      <c r="R121" s="454" t="s">
        <v>46</v>
      </c>
    </row>
    <row r="122" ht="27.75" customHeight="1" spans="1:18">
      <c r="A122" s="405"/>
      <c r="B122" s="405"/>
      <c r="C122" s="405"/>
      <c r="D122" s="405"/>
      <c r="E122" s="405"/>
      <c r="F122" s="405"/>
      <c r="G122" s="405"/>
      <c r="H122" s="417"/>
      <c r="I122" s="417" t="s">
        <v>68</v>
      </c>
      <c r="J122" s="417" t="s">
        <v>69</v>
      </c>
      <c r="K122" s="450"/>
      <c r="L122" s="450"/>
      <c r="M122" s="450"/>
      <c r="N122" s="450"/>
      <c r="O122" s="450"/>
      <c r="P122" s="450"/>
      <c r="Q122" s="417"/>
      <c r="R122" s="455"/>
    </row>
    <row r="123" spans="1:18">
      <c r="A123" s="409">
        <v>1</v>
      </c>
      <c r="B123" s="409"/>
      <c r="C123" s="409">
        <v>2</v>
      </c>
      <c r="D123" s="409">
        <v>3</v>
      </c>
      <c r="E123" s="409">
        <v>4</v>
      </c>
      <c r="F123" s="409">
        <v>5</v>
      </c>
      <c r="G123" s="409">
        <v>6</v>
      </c>
      <c r="H123" s="418">
        <v>7</v>
      </c>
      <c r="I123" s="418">
        <v>8</v>
      </c>
      <c r="J123" s="418">
        <v>9</v>
      </c>
      <c r="K123" s="418">
        <v>10</v>
      </c>
      <c r="L123" s="418">
        <v>11</v>
      </c>
      <c r="M123" s="418">
        <v>12</v>
      </c>
      <c r="N123" s="418">
        <v>13</v>
      </c>
      <c r="O123" s="418">
        <v>14</v>
      </c>
      <c r="P123" s="418">
        <v>15</v>
      </c>
      <c r="Q123" s="418">
        <v>16</v>
      </c>
      <c r="R123" s="456">
        <v>17</v>
      </c>
    </row>
    <row r="124" ht="67.5" spans="1:18">
      <c r="A124" s="540" t="str">
        <f>A109</f>
        <v>853211О.99.0БВ19АА50000</v>
      </c>
      <c r="B124" s="411"/>
      <c r="C124" s="412" t="s">
        <v>105</v>
      </c>
      <c r="D124" s="412" t="s">
        <v>51</v>
      </c>
      <c r="E124" s="412"/>
      <c r="F124" s="412" t="s">
        <v>50</v>
      </c>
      <c r="G124" s="412"/>
      <c r="H124" s="419" t="s">
        <v>113</v>
      </c>
      <c r="I124" s="419" t="s">
        <v>71</v>
      </c>
      <c r="J124" s="419">
        <v>792</v>
      </c>
      <c r="K124" s="451">
        <f>'проверка 2020'!H24</f>
        <v>103</v>
      </c>
      <c r="L124" s="451">
        <f>'проверка 2021 '!H24</f>
        <v>103</v>
      </c>
      <c r="M124" s="451">
        <f>проверка2022!H24</f>
        <v>103</v>
      </c>
      <c r="N124" s="452"/>
      <c r="O124" s="452"/>
      <c r="P124" s="452"/>
      <c r="Q124" s="483">
        <v>0.05</v>
      </c>
      <c r="R124" s="482"/>
    </row>
    <row r="125" ht="67.5" spans="1:18">
      <c r="A125" s="540" t="str">
        <f>A110</f>
        <v>853211О.99.БВ19АА56000</v>
      </c>
      <c r="B125" s="411"/>
      <c r="C125" s="412" t="s">
        <v>105</v>
      </c>
      <c r="D125" s="412" t="s">
        <v>58</v>
      </c>
      <c r="E125" s="412"/>
      <c r="F125" s="412" t="s">
        <v>50</v>
      </c>
      <c r="G125" s="412"/>
      <c r="H125" s="419" t="s">
        <v>113</v>
      </c>
      <c r="I125" s="419" t="s">
        <v>71</v>
      </c>
      <c r="J125" s="419">
        <v>792</v>
      </c>
      <c r="K125" s="451">
        <f>'проверка 2020'!I24</f>
        <v>528</v>
      </c>
      <c r="L125" s="451">
        <f>'проверка 2021 '!I24</f>
        <v>528</v>
      </c>
      <c r="M125" s="451">
        <f>проверка2022!I24</f>
        <v>528</v>
      </c>
      <c r="N125" s="452"/>
      <c r="O125" s="452"/>
      <c r="P125" s="452"/>
      <c r="Q125" s="483">
        <v>0.05</v>
      </c>
      <c r="R125" s="482"/>
    </row>
    <row r="126" ht="23.25" hidden="1" customHeight="1" spans="1:18">
      <c r="A126" s="540" t="str">
        <f>A111</f>
        <v>853211О.99.0.БВ19АА08000</v>
      </c>
      <c r="B126" s="411"/>
      <c r="C126" s="412" t="s">
        <v>111</v>
      </c>
      <c r="D126" s="412" t="s">
        <v>51</v>
      </c>
      <c r="E126" s="412"/>
      <c r="F126" s="412" t="s">
        <v>50</v>
      </c>
      <c r="G126" s="412"/>
      <c r="H126" s="419" t="s">
        <v>113</v>
      </c>
      <c r="I126" s="419" t="s">
        <v>71</v>
      </c>
      <c r="J126" s="419">
        <v>792</v>
      </c>
      <c r="K126" s="451">
        <f>'проверка 2020'!J24</f>
        <v>0</v>
      </c>
      <c r="L126" s="451">
        <f>'проверка 2021 '!J24</f>
        <v>0</v>
      </c>
      <c r="M126" s="451">
        <f>проверка2022!J24</f>
        <v>0</v>
      </c>
      <c r="N126" s="452"/>
      <c r="O126" s="452"/>
      <c r="P126" s="452"/>
      <c r="Q126" s="483">
        <v>0.05</v>
      </c>
      <c r="R126" s="482"/>
    </row>
    <row r="127" ht="23.25" customHeight="1" spans="1:18">
      <c r="A127" s="540" t="str">
        <f>A112</f>
        <v>853211О.99.0.БВ19АА14000</v>
      </c>
      <c r="B127" s="411"/>
      <c r="C127" s="412" t="s">
        <v>111</v>
      </c>
      <c r="D127" s="412" t="s">
        <v>58</v>
      </c>
      <c r="E127" s="412"/>
      <c r="F127" s="412" t="s">
        <v>50</v>
      </c>
      <c r="G127" s="412"/>
      <c r="H127" s="419" t="s">
        <v>113</v>
      </c>
      <c r="I127" s="419" t="s">
        <v>71</v>
      </c>
      <c r="J127" s="419">
        <v>792</v>
      </c>
      <c r="K127" s="451">
        <f>'проверка 2020'!K24</f>
        <v>4</v>
      </c>
      <c r="L127" s="451">
        <f>'проверка 2021 '!K24</f>
        <v>4</v>
      </c>
      <c r="M127" s="451">
        <f>проверка2022!K24</f>
        <v>4</v>
      </c>
      <c r="N127" s="452"/>
      <c r="O127" s="452"/>
      <c r="P127" s="452"/>
      <c r="Q127" s="483">
        <v>0.05</v>
      </c>
      <c r="R127" s="482"/>
    </row>
    <row r="129" s="390" customFormat="1" hidden="1"/>
    <row r="130" s="390" customFormat="1" hidden="1" spans="4:4">
      <c r="D130" s="416"/>
    </row>
    <row r="131" hidden="1" spans="4:4">
      <c r="D131" s="416"/>
    </row>
    <row r="132" hidden="1" spans="1:1">
      <c r="A132" s="420"/>
    </row>
    <row r="133" hidden="1"/>
    <row r="134" hidden="1"/>
    <row r="135" hidden="1"/>
    <row r="137" spans="1:1">
      <c r="A137" s="397" t="s">
        <v>72</v>
      </c>
    </row>
    <row r="139" spans="1:13">
      <c r="A139" s="423" t="s">
        <v>73</v>
      </c>
      <c r="B139" s="423"/>
      <c r="C139" s="423"/>
      <c r="D139" s="423"/>
      <c r="E139" s="423"/>
      <c r="F139" s="423"/>
      <c r="G139" s="423"/>
      <c r="H139" s="423"/>
      <c r="I139" s="423"/>
      <c r="J139" s="423"/>
      <c r="K139" s="423"/>
      <c r="L139" s="423"/>
      <c r="M139" s="423"/>
    </row>
    <row r="140" spans="1:13">
      <c r="A140" s="423" t="s">
        <v>74</v>
      </c>
      <c r="B140" s="423" t="s">
        <v>75</v>
      </c>
      <c r="C140" s="423"/>
      <c r="D140" s="423"/>
      <c r="E140" s="423" t="s">
        <v>76</v>
      </c>
      <c r="F140" s="423" t="s">
        <v>77</v>
      </c>
      <c r="G140" s="423" t="s">
        <v>78</v>
      </c>
      <c r="H140" s="423"/>
      <c r="I140" s="423"/>
      <c r="J140" s="423"/>
      <c r="K140" s="423"/>
      <c r="L140" s="423"/>
      <c r="M140" s="423"/>
    </row>
    <row r="141" spans="1:13">
      <c r="A141" s="470">
        <v>1</v>
      </c>
      <c r="B141" s="470">
        <v>2</v>
      </c>
      <c r="C141" s="470"/>
      <c r="D141" s="470"/>
      <c r="E141" s="470">
        <v>3</v>
      </c>
      <c r="F141" s="470">
        <v>4</v>
      </c>
      <c r="G141" s="459">
        <v>5</v>
      </c>
      <c r="H141" s="459"/>
      <c r="I141" s="459"/>
      <c r="J141" s="459"/>
      <c r="K141" s="459"/>
      <c r="L141" s="459"/>
      <c r="M141" s="459"/>
    </row>
    <row r="142" s="393" customFormat="1" ht="45.75" customHeight="1" spans="1:19">
      <c r="A142" s="460" t="s">
        <v>114</v>
      </c>
      <c r="B142" s="484" t="s">
        <v>115</v>
      </c>
      <c r="C142" s="485"/>
      <c r="D142" s="486"/>
      <c r="E142" s="462">
        <v>43306</v>
      </c>
      <c r="F142" s="460">
        <v>129</v>
      </c>
      <c r="G142" s="487" t="s">
        <v>116</v>
      </c>
      <c r="H142" s="488"/>
      <c r="I142" s="488"/>
      <c r="J142" s="488"/>
      <c r="K142" s="488"/>
      <c r="L142" s="488"/>
      <c r="M142" s="499"/>
      <c r="N142" s="500"/>
      <c r="O142" s="500"/>
      <c r="P142" s="500"/>
      <c r="Q142" s="514"/>
      <c r="R142" s="514"/>
      <c r="S142" s="514"/>
    </row>
    <row r="143" s="392" customFormat="1" ht="53.25" hidden="1" customHeight="1" spans="1:16">
      <c r="A143" s="417"/>
      <c r="B143" s="417"/>
      <c r="C143" s="417"/>
      <c r="D143" s="417"/>
      <c r="E143" s="463"/>
      <c r="F143" s="464"/>
      <c r="G143" s="465"/>
      <c r="H143" s="465"/>
      <c r="I143" s="465"/>
      <c r="J143" s="465"/>
      <c r="K143" s="465"/>
      <c r="L143" s="465"/>
      <c r="M143" s="465"/>
      <c r="N143" s="479"/>
      <c r="O143" s="479"/>
      <c r="P143" s="479"/>
    </row>
    <row r="144" s="392" customFormat="1" ht="32.25" hidden="1" customHeight="1" spans="1:16">
      <c r="A144" s="417"/>
      <c r="B144" s="417"/>
      <c r="C144" s="417"/>
      <c r="D144" s="417"/>
      <c r="E144" s="463"/>
      <c r="F144" s="464"/>
      <c r="G144" s="465"/>
      <c r="H144" s="465"/>
      <c r="I144" s="465"/>
      <c r="J144" s="465"/>
      <c r="K144" s="465"/>
      <c r="L144" s="465"/>
      <c r="M144" s="465"/>
      <c r="N144" s="479"/>
      <c r="O144" s="479"/>
      <c r="P144" s="479"/>
    </row>
    <row r="147" spans="1:1">
      <c r="A147" s="397" t="s">
        <v>85</v>
      </c>
    </row>
    <row r="149" spans="1:1">
      <c r="A149" s="397" t="s">
        <v>86</v>
      </c>
    </row>
    <row r="150" ht="13.5" customHeight="1" spans="1:16">
      <c r="A150" s="468" t="s">
        <v>87</v>
      </c>
      <c r="B150" s="468"/>
      <c r="C150" s="468"/>
      <c r="D150" s="468"/>
      <c r="E150" s="468"/>
      <c r="F150" s="468"/>
      <c r="G150" s="468"/>
      <c r="H150" s="468"/>
      <c r="I150" s="468"/>
      <c r="J150" s="468"/>
      <c r="K150" s="468"/>
      <c r="L150" s="468"/>
      <c r="M150" s="468"/>
      <c r="N150" s="468"/>
      <c r="O150" s="468"/>
      <c r="P150" s="468"/>
    </row>
    <row r="151" ht="17.25" customHeight="1" spans="1:16">
      <c r="A151" s="468" t="s">
        <v>88</v>
      </c>
      <c r="B151" s="468"/>
      <c r="C151" s="468"/>
      <c r="D151" s="468"/>
      <c r="E151" s="468"/>
      <c r="F151" s="468"/>
      <c r="G151" s="468"/>
      <c r="H151" s="468"/>
      <c r="I151" s="468"/>
      <c r="J151" s="468"/>
      <c r="K151" s="468"/>
      <c r="L151" s="468"/>
      <c r="M151" s="468"/>
      <c r="N151" s="468"/>
      <c r="O151" s="468"/>
      <c r="P151" s="468"/>
    </row>
    <row r="152" ht="33.75" customHeight="1" spans="1:16">
      <c r="A152" s="468" t="s">
        <v>89</v>
      </c>
      <c r="B152" s="468"/>
      <c r="C152" s="468"/>
      <c r="D152" s="468"/>
      <c r="E152" s="468"/>
      <c r="F152" s="468"/>
      <c r="G152" s="468"/>
      <c r="H152" s="468"/>
      <c r="I152" s="468"/>
      <c r="J152" s="468"/>
      <c r="K152" s="468"/>
      <c r="L152" s="468"/>
      <c r="M152" s="468"/>
      <c r="N152" s="468"/>
      <c r="O152" s="468"/>
      <c r="P152" s="468"/>
    </row>
    <row r="153" ht="33.75" customHeight="1" spans="1:16">
      <c r="A153" s="468" t="s">
        <v>90</v>
      </c>
      <c r="B153" s="468"/>
      <c r="C153" s="468"/>
      <c r="D153" s="468"/>
      <c r="E153" s="468"/>
      <c r="F153" s="468"/>
      <c r="G153" s="468"/>
      <c r="H153" s="468"/>
      <c r="I153" s="468"/>
      <c r="J153" s="468"/>
      <c r="K153" s="468"/>
      <c r="L153" s="468"/>
      <c r="M153" s="468"/>
      <c r="N153" s="468"/>
      <c r="O153" s="468"/>
      <c r="P153" s="468"/>
    </row>
    <row r="154" ht="45.75" customHeight="1" spans="1:16">
      <c r="A154" s="468" t="s">
        <v>91</v>
      </c>
      <c r="B154" s="468"/>
      <c r="C154" s="468"/>
      <c r="D154" s="468"/>
      <c r="E154" s="468"/>
      <c r="F154" s="468"/>
      <c r="G154" s="468"/>
      <c r="H154" s="468"/>
      <c r="I154" s="468"/>
      <c r="J154" s="468"/>
      <c r="K154" s="468"/>
      <c r="L154" s="468"/>
      <c r="M154" s="468"/>
      <c r="N154" s="468"/>
      <c r="O154" s="468"/>
      <c r="P154" s="468"/>
    </row>
    <row r="155" spans="1:12">
      <c r="A155" s="469" t="s">
        <v>92</v>
      </c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</row>
    <row r="158" spans="1:1">
      <c r="A158" s="397" t="s">
        <v>93</v>
      </c>
    </row>
    <row r="160" spans="1:11">
      <c r="A160" s="423" t="s">
        <v>94</v>
      </c>
      <c r="B160" s="423"/>
      <c r="C160" s="423"/>
      <c r="D160" s="423" t="s">
        <v>95</v>
      </c>
      <c r="E160" s="423"/>
      <c r="F160" s="423"/>
      <c r="G160" s="423"/>
      <c r="H160" s="423" t="s">
        <v>96</v>
      </c>
      <c r="I160" s="423"/>
      <c r="J160" s="423"/>
      <c r="K160" s="423"/>
    </row>
    <row r="161" spans="1:11">
      <c r="A161" s="470">
        <v>1</v>
      </c>
      <c r="B161" s="470"/>
      <c r="C161" s="470"/>
      <c r="D161" s="470">
        <v>2</v>
      </c>
      <c r="E161" s="470"/>
      <c r="F161" s="470"/>
      <c r="G161" s="470"/>
      <c r="H161" s="470">
        <v>3</v>
      </c>
      <c r="I161" s="470"/>
      <c r="J161" s="470"/>
      <c r="K161" s="470"/>
    </row>
    <row r="162" ht="325.5" customHeight="1" spans="1:11">
      <c r="A162" s="471" t="s">
        <v>97</v>
      </c>
      <c r="B162" s="472"/>
      <c r="C162" s="473"/>
      <c r="D162" s="474" t="s">
        <v>98</v>
      </c>
      <c r="E162" s="475"/>
      <c r="F162" s="475"/>
      <c r="G162" s="476"/>
      <c r="H162" s="477" t="s">
        <v>99</v>
      </c>
      <c r="I162" s="480"/>
      <c r="J162" s="480"/>
      <c r="K162" s="481"/>
    </row>
    <row r="163" hidden="1" spans="1:11">
      <c r="A163" s="428"/>
      <c r="B163" s="402"/>
      <c r="C163" s="429"/>
      <c r="D163" s="428"/>
      <c r="E163" s="402"/>
      <c r="F163" s="402"/>
      <c r="G163" s="429"/>
      <c r="H163" s="428"/>
      <c r="I163" s="402"/>
      <c r="J163" s="402"/>
      <c r="K163" s="429"/>
    </row>
    <row r="166" hidden="1" spans="1:16">
      <c r="A166" s="399" t="s">
        <v>117</v>
      </c>
      <c r="B166" s="399"/>
      <c r="C166" s="399"/>
      <c r="D166" s="399"/>
      <c r="E166" s="399"/>
      <c r="F166" s="399"/>
      <c r="G166" s="399"/>
      <c r="H166" s="399"/>
      <c r="I166" s="399"/>
      <c r="J166" s="399"/>
      <c r="K166" s="399"/>
      <c r="L166" s="399"/>
      <c r="M166" s="399"/>
      <c r="N166" s="399"/>
      <c r="O166" s="399"/>
      <c r="P166" s="399"/>
    </row>
    <row r="167" hidden="1" spans="1:16">
      <c r="A167" s="399" t="s">
        <v>118</v>
      </c>
      <c r="B167" s="399"/>
      <c r="C167" s="399"/>
      <c r="D167" s="399"/>
      <c r="E167" s="399"/>
      <c r="F167" s="399"/>
      <c r="G167" s="399"/>
      <c r="H167" s="399"/>
      <c r="I167" s="399"/>
      <c r="J167" s="399"/>
      <c r="K167" s="399"/>
      <c r="L167" s="399"/>
      <c r="M167" s="399"/>
      <c r="N167" s="399"/>
      <c r="O167" s="399"/>
      <c r="P167" s="399"/>
    </row>
    <row r="168" hidden="1"/>
    <row r="169" s="394" customFormat="1" hidden="1" spans="1:16">
      <c r="A169" s="394" t="s">
        <v>119</v>
      </c>
      <c r="C169" s="489"/>
      <c r="D169" s="489"/>
      <c r="E169" s="489"/>
      <c r="F169" s="489"/>
      <c r="G169" s="489"/>
      <c r="H169" s="489"/>
      <c r="I169" s="489"/>
      <c r="J169" s="489"/>
      <c r="K169" s="489"/>
      <c r="L169" s="489"/>
      <c r="M169" s="501"/>
      <c r="N169" s="501" t="s">
        <v>120</v>
      </c>
      <c r="O169" s="436"/>
      <c r="P169" s="436"/>
    </row>
    <row r="170" s="394" customFormat="1" hidden="1" spans="1:16">
      <c r="A170" s="489"/>
      <c r="B170" s="489"/>
      <c r="C170" s="489"/>
      <c r="D170" s="489"/>
      <c r="E170" s="489"/>
      <c r="F170" s="489"/>
      <c r="G170" s="489"/>
      <c r="H170" s="489"/>
      <c r="I170" s="489"/>
      <c r="J170" s="489"/>
      <c r="K170" s="489"/>
      <c r="L170" s="489"/>
      <c r="M170" s="501"/>
      <c r="N170" s="501" t="s">
        <v>121</v>
      </c>
      <c r="O170" s="436"/>
      <c r="P170" s="436"/>
    </row>
    <row r="171" s="394" customFormat="1" hidden="1" spans="1:16">
      <c r="A171" s="394" t="s">
        <v>122</v>
      </c>
      <c r="D171" s="489"/>
      <c r="E171" s="489"/>
      <c r="F171" s="489"/>
      <c r="G171" s="489"/>
      <c r="H171" s="489"/>
      <c r="I171" s="489"/>
      <c r="J171" s="489"/>
      <c r="K171" s="489"/>
      <c r="L171" s="489"/>
      <c r="M171" s="489"/>
      <c r="N171" s="501" t="s">
        <v>123</v>
      </c>
      <c r="O171" s="436"/>
      <c r="P171" s="436"/>
    </row>
    <row r="172" s="394" customFormat="1" hidden="1" spans="1:14">
      <c r="A172" s="489"/>
      <c r="B172" s="489"/>
      <c r="C172" s="489"/>
      <c r="D172" s="489"/>
      <c r="E172" s="489"/>
      <c r="F172" s="489"/>
      <c r="G172" s="489"/>
      <c r="H172" s="489"/>
      <c r="I172" s="489"/>
      <c r="J172" s="489"/>
      <c r="K172" s="489"/>
      <c r="L172" s="489"/>
      <c r="M172" s="489"/>
      <c r="N172" s="502"/>
    </row>
    <row r="173" s="394" customFormat="1" hidden="1" spans="1:14">
      <c r="A173" s="490"/>
      <c r="B173" s="490"/>
      <c r="C173" s="490"/>
      <c r="D173" s="490"/>
      <c r="E173" s="490"/>
      <c r="F173" s="490"/>
      <c r="G173" s="490"/>
      <c r="H173" s="490"/>
      <c r="I173" s="490"/>
      <c r="J173" s="490"/>
      <c r="K173" s="490"/>
      <c r="L173" s="490"/>
      <c r="M173" s="490"/>
      <c r="N173" s="490"/>
    </row>
    <row r="174" s="394" customFormat="1" hidden="1" spans="1:1">
      <c r="A174" s="394" t="s">
        <v>124</v>
      </c>
    </row>
    <row r="175" s="394" customFormat="1" hidden="1"/>
    <row r="176" s="394" customFormat="1" hidden="1" spans="1:1">
      <c r="A176" s="394" t="s">
        <v>125</v>
      </c>
    </row>
    <row r="177" s="395" customFormat="1" hidden="1"/>
    <row r="178" s="395" customFormat="1" ht="67.5" hidden="1" customHeight="1" spans="1:16">
      <c r="A178" s="491" t="s">
        <v>61</v>
      </c>
      <c r="B178" s="491"/>
      <c r="C178" s="492" t="s">
        <v>126</v>
      </c>
      <c r="D178" s="493"/>
      <c r="E178" s="494"/>
      <c r="F178" s="491" t="s">
        <v>127</v>
      </c>
      <c r="G178" s="491"/>
      <c r="H178" s="491" t="s">
        <v>128</v>
      </c>
      <c r="I178" s="491"/>
      <c r="J178" s="491"/>
      <c r="K178" s="491"/>
      <c r="L178" s="491"/>
      <c r="M178" s="491" t="s">
        <v>129</v>
      </c>
      <c r="N178" s="491"/>
      <c r="O178" s="491"/>
      <c r="P178" s="491"/>
    </row>
    <row r="179" s="395" customFormat="1" ht="24.75" hidden="1" customHeight="1" spans="1:16">
      <c r="A179" s="491"/>
      <c r="B179" s="491"/>
      <c r="C179" s="491" t="s">
        <v>130</v>
      </c>
      <c r="D179" s="491" t="s">
        <v>130</v>
      </c>
      <c r="E179" s="491" t="s">
        <v>130</v>
      </c>
      <c r="F179" s="491" t="s">
        <v>130</v>
      </c>
      <c r="G179" s="491" t="s">
        <v>130</v>
      </c>
      <c r="H179" s="491" t="s">
        <v>131</v>
      </c>
      <c r="I179" s="491"/>
      <c r="J179" s="491" t="s">
        <v>132</v>
      </c>
      <c r="K179" s="491"/>
      <c r="L179" s="491"/>
      <c r="M179" s="503" t="s">
        <v>133</v>
      </c>
      <c r="N179" s="503" t="s">
        <v>134</v>
      </c>
      <c r="O179" s="504" t="s">
        <v>135</v>
      </c>
      <c r="P179" s="505"/>
    </row>
    <row r="180" s="395" customFormat="1" ht="26.25" hidden="1" customHeight="1" spans="1:16">
      <c r="A180" s="491"/>
      <c r="B180" s="491"/>
      <c r="C180" s="491"/>
      <c r="D180" s="491"/>
      <c r="E180" s="491"/>
      <c r="F180" s="491"/>
      <c r="G180" s="491"/>
      <c r="H180" s="491"/>
      <c r="I180" s="491"/>
      <c r="J180" s="506" t="s">
        <v>78</v>
      </c>
      <c r="K180" s="507"/>
      <c r="L180" s="508" t="s">
        <v>136</v>
      </c>
      <c r="M180" s="509"/>
      <c r="N180" s="509"/>
      <c r="O180" s="510"/>
      <c r="P180" s="511"/>
    </row>
    <row r="181" s="395" customFormat="1" hidden="1" spans="1:16">
      <c r="A181" s="495">
        <v>1</v>
      </c>
      <c r="B181" s="495"/>
      <c r="C181" s="495">
        <v>2</v>
      </c>
      <c r="D181" s="495">
        <v>3</v>
      </c>
      <c r="E181" s="495">
        <v>4</v>
      </c>
      <c r="F181" s="495">
        <v>5</v>
      </c>
      <c r="G181" s="495">
        <v>6</v>
      </c>
      <c r="H181" s="495">
        <v>7</v>
      </c>
      <c r="I181" s="495"/>
      <c r="J181" s="512">
        <v>8</v>
      </c>
      <c r="K181" s="513"/>
      <c r="L181" s="495">
        <v>9</v>
      </c>
      <c r="M181" s="495">
        <v>10</v>
      </c>
      <c r="N181" s="495">
        <v>11</v>
      </c>
      <c r="O181" s="508">
        <v>12</v>
      </c>
      <c r="P181" s="508"/>
    </row>
    <row r="182" s="395" customFormat="1" hidden="1" spans="1:16">
      <c r="A182" s="496"/>
      <c r="B182" s="497"/>
      <c r="C182" s="498"/>
      <c r="D182" s="498"/>
      <c r="E182" s="498"/>
      <c r="F182" s="498"/>
      <c r="G182" s="498"/>
      <c r="H182" s="496"/>
      <c r="I182" s="497"/>
      <c r="J182" s="496"/>
      <c r="K182" s="497"/>
      <c r="L182" s="498"/>
      <c r="M182" s="498"/>
      <c r="N182" s="498"/>
      <c r="O182" s="496"/>
      <c r="P182" s="497"/>
    </row>
    <row r="183" s="395" customFormat="1" hidden="1" spans="1:16">
      <c r="A183" s="496"/>
      <c r="B183" s="497"/>
      <c r="C183" s="498"/>
      <c r="D183" s="498"/>
      <c r="E183" s="498"/>
      <c r="F183" s="498"/>
      <c r="G183" s="498"/>
      <c r="H183" s="496"/>
      <c r="I183" s="497"/>
      <c r="J183" s="496"/>
      <c r="K183" s="497"/>
      <c r="L183" s="498"/>
      <c r="M183" s="498"/>
      <c r="N183" s="498"/>
      <c r="O183" s="496"/>
      <c r="P183" s="497"/>
    </row>
    <row r="184" s="395" customFormat="1" hidden="1" spans="1:16">
      <c r="A184" s="496"/>
      <c r="B184" s="497"/>
      <c r="C184" s="498"/>
      <c r="D184" s="498"/>
      <c r="E184" s="498"/>
      <c r="F184" s="498"/>
      <c r="G184" s="498"/>
      <c r="H184" s="496"/>
      <c r="I184" s="497"/>
      <c r="J184" s="496"/>
      <c r="K184" s="497"/>
      <c r="L184" s="498"/>
      <c r="M184" s="498"/>
      <c r="N184" s="498"/>
      <c r="O184" s="496"/>
      <c r="P184" s="497"/>
    </row>
    <row r="185" s="395" customFormat="1" hidden="1" spans="1:16">
      <c r="A185" s="496"/>
      <c r="B185" s="497"/>
      <c r="C185" s="498"/>
      <c r="D185" s="498"/>
      <c r="E185" s="498"/>
      <c r="F185" s="498"/>
      <c r="G185" s="498"/>
      <c r="H185" s="496"/>
      <c r="I185" s="497"/>
      <c r="J185" s="496"/>
      <c r="K185" s="497"/>
      <c r="L185" s="498"/>
      <c r="M185" s="498"/>
      <c r="N185" s="498"/>
      <c r="O185" s="496"/>
      <c r="P185" s="497"/>
    </row>
    <row r="186" s="395" customFormat="1" hidden="1" spans="1:16">
      <c r="A186" s="496"/>
      <c r="B186" s="497"/>
      <c r="C186" s="498"/>
      <c r="D186" s="498"/>
      <c r="E186" s="498"/>
      <c r="F186" s="498"/>
      <c r="G186" s="498"/>
      <c r="H186" s="496"/>
      <c r="I186" s="497"/>
      <c r="J186" s="496"/>
      <c r="K186" s="497"/>
      <c r="L186" s="498"/>
      <c r="M186" s="498"/>
      <c r="N186" s="498"/>
      <c r="O186" s="496"/>
      <c r="P186" s="497"/>
    </row>
    <row r="187" s="395" customFormat="1" hidden="1" spans="1:16">
      <c r="A187" s="496"/>
      <c r="B187" s="497"/>
      <c r="C187" s="498"/>
      <c r="D187" s="498"/>
      <c r="E187" s="498"/>
      <c r="F187" s="498"/>
      <c r="G187" s="498"/>
      <c r="H187" s="496"/>
      <c r="I187" s="497"/>
      <c r="J187" s="496"/>
      <c r="K187" s="497"/>
      <c r="L187" s="498"/>
      <c r="M187" s="498"/>
      <c r="N187" s="498"/>
      <c r="O187" s="496"/>
      <c r="P187" s="497"/>
    </row>
    <row r="188" s="395" customFormat="1" hidden="1" spans="1:16">
      <c r="A188" s="496"/>
      <c r="B188" s="497"/>
      <c r="C188" s="498"/>
      <c r="D188" s="498"/>
      <c r="E188" s="498"/>
      <c r="F188" s="498"/>
      <c r="G188" s="498"/>
      <c r="H188" s="496"/>
      <c r="I188" s="497"/>
      <c r="J188" s="496"/>
      <c r="K188" s="497"/>
      <c r="L188" s="498"/>
      <c r="M188" s="498"/>
      <c r="N188" s="498"/>
      <c r="O188" s="496"/>
      <c r="P188" s="497"/>
    </row>
    <row r="189" s="395" customFormat="1" hidden="1" spans="1:16">
      <c r="A189" s="496"/>
      <c r="B189" s="497"/>
      <c r="C189" s="498"/>
      <c r="D189" s="498"/>
      <c r="E189" s="498"/>
      <c r="F189" s="498"/>
      <c r="G189" s="498"/>
      <c r="H189" s="496"/>
      <c r="I189" s="497"/>
      <c r="J189" s="496"/>
      <c r="K189" s="497"/>
      <c r="L189" s="498"/>
      <c r="M189" s="498"/>
      <c r="N189" s="498"/>
      <c r="O189" s="496"/>
      <c r="P189" s="497"/>
    </row>
    <row r="190" s="395" customFormat="1" hidden="1"/>
    <row r="191" s="394" customFormat="1" hidden="1" spans="1:1">
      <c r="A191" s="394" t="s">
        <v>137</v>
      </c>
    </row>
    <row r="192" s="394" customFormat="1" hidden="1" spans="1:4">
      <c r="A192" s="394" t="s">
        <v>138</v>
      </c>
      <c r="D192" s="436"/>
    </row>
    <row r="193" s="394" customFormat="1" hidden="1" spans="4:4">
      <c r="D193" s="436"/>
    </row>
    <row r="194" s="394" customFormat="1" hidden="1"/>
    <row r="195" s="394" customFormat="1" hidden="1" spans="1:1">
      <c r="A195" s="394" t="s">
        <v>139</v>
      </c>
    </row>
    <row r="196" s="394" customFormat="1" hidden="1"/>
    <row r="197" s="394" customFormat="1" ht="39.75" hidden="1" customHeight="1" spans="1:16">
      <c r="A197" s="491" t="s">
        <v>61</v>
      </c>
      <c r="B197" s="491" t="s">
        <v>126</v>
      </c>
      <c r="C197" s="491"/>
      <c r="D197" s="491"/>
      <c r="E197" s="492" t="s">
        <v>140</v>
      </c>
      <c r="F197" s="493"/>
      <c r="G197" s="494"/>
      <c r="H197" s="491" t="s">
        <v>141</v>
      </c>
      <c r="I197" s="491"/>
      <c r="J197" s="491"/>
      <c r="K197" s="491" t="s">
        <v>142</v>
      </c>
      <c r="L197" s="491"/>
      <c r="M197" s="491"/>
      <c r="N197" s="536"/>
      <c r="O197" s="536"/>
      <c r="P197" s="536"/>
    </row>
    <row r="198" s="394" customFormat="1" ht="42" hidden="1" customHeight="1" spans="1:16">
      <c r="A198" s="491"/>
      <c r="B198" s="491" t="s">
        <v>130</v>
      </c>
      <c r="C198" s="491" t="s">
        <v>130</v>
      </c>
      <c r="D198" s="491" t="s">
        <v>130</v>
      </c>
      <c r="E198" s="494" t="s">
        <v>130</v>
      </c>
      <c r="F198" s="491" t="s">
        <v>130</v>
      </c>
      <c r="G198" s="491" t="s">
        <v>130</v>
      </c>
      <c r="H198" s="491" t="s">
        <v>131</v>
      </c>
      <c r="I198" s="491" t="s">
        <v>132</v>
      </c>
      <c r="J198" s="491"/>
      <c r="K198" s="491" t="s">
        <v>133</v>
      </c>
      <c r="L198" s="491" t="s">
        <v>134</v>
      </c>
      <c r="M198" s="491" t="s">
        <v>135</v>
      </c>
      <c r="N198" s="536"/>
      <c r="O198" s="536"/>
      <c r="P198" s="536"/>
    </row>
    <row r="199" s="394" customFormat="1" ht="27.75" hidden="1" customHeight="1" spans="1:16">
      <c r="A199" s="491"/>
      <c r="B199" s="491"/>
      <c r="C199" s="491"/>
      <c r="D199" s="491"/>
      <c r="E199" s="494"/>
      <c r="F199" s="491"/>
      <c r="G199" s="491"/>
      <c r="H199" s="491"/>
      <c r="I199" s="491" t="s">
        <v>143</v>
      </c>
      <c r="J199" s="508" t="s">
        <v>136</v>
      </c>
      <c r="K199" s="491"/>
      <c r="L199" s="491"/>
      <c r="M199" s="491"/>
      <c r="N199" s="536"/>
      <c r="O199" s="536"/>
      <c r="P199" s="536"/>
    </row>
    <row r="200" s="394" customFormat="1" hidden="1" spans="1:16">
      <c r="A200" s="515">
        <v>1</v>
      </c>
      <c r="B200" s="515">
        <v>2</v>
      </c>
      <c r="C200" s="515">
        <v>3</v>
      </c>
      <c r="D200" s="515">
        <v>4</v>
      </c>
      <c r="E200" s="495">
        <v>4</v>
      </c>
      <c r="F200" s="495">
        <v>5</v>
      </c>
      <c r="G200" s="495">
        <v>6</v>
      </c>
      <c r="H200" s="495">
        <v>7</v>
      </c>
      <c r="I200" s="495">
        <v>8</v>
      </c>
      <c r="J200" s="495">
        <v>9</v>
      </c>
      <c r="K200" s="495">
        <v>10</v>
      </c>
      <c r="L200" s="495">
        <v>11</v>
      </c>
      <c r="M200" s="495">
        <v>12</v>
      </c>
      <c r="N200" s="537"/>
      <c r="O200" s="538"/>
      <c r="P200" s="538"/>
    </row>
    <row r="201" s="394" customFormat="1" hidden="1" spans="1:16">
      <c r="A201" s="516"/>
      <c r="B201" s="516"/>
      <c r="C201" s="498"/>
      <c r="D201" s="498"/>
      <c r="E201" s="498"/>
      <c r="F201" s="498"/>
      <c r="G201" s="498"/>
      <c r="H201" s="516"/>
      <c r="I201" s="516"/>
      <c r="J201" s="498"/>
      <c r="K201" s="498"/>
      <c r="L201" s="498"/>
      <c r="M201" s="498"/>
      <c r="N201" s="539"/>
      <c r="O201" s="502"/>
      <c r="P201" s="502"/>
    </row>
    <row r="202" s="394" customFormat="1" hidden="1" spans="1:16">
      <c r="A202" s="516"/>
      <c r="B202" s="516"/>
      <c r="C202" s="498"/>
      <c r="D202" s="498"/>
      <c r="E202" s="498"/>
      <c r="F202" s="498"/>
      <c r="G202" s="498"/>
      <c r="H202" s="516"/>
      <c r="I202" s="516"/>
      <c r="J202" s="498"/>
      <c r="K202" s="498"/>
      <c r="L202" s="498"/>
      <c r="M202" s="498"/>
      <c r="N202" s="539"/>
      <c r="O202" s="502"/>
      <c r="P202" s="502"/>
    </row>
    <row r="203" s="394" customFormat="1" hidden="1" spans="1:16">
      <c r="A203" s="516"/>
      <c r="B203" s="516"/>
      <c r="C203" s="498"/>
      <c r="D203" s="498"/>
      <c r="E203" s="498"/>
      <c r="F203" s="498"/>
      <c r="G203" s="498"/>
      <c r="H203" s="516"/>
      <c r="I203" s="516"/>
      <c r="J203" s="498"/>
      <c r="K203" s="498"/>
      <c r="L203" s="498"/>
      <c r="M203" s="498"/>
      <c r="N203" s="539"/>
      <c r="O203" s="502"/>
      <c r="P203" s="502"/>
    </row>
    <row r="204" s="394" customFormat="1" hidden="1" spans="1:16">
      <c r="A204" s="516"/>
      <c r="B204" s="516"/>
      <c r="C204" s="498"/>
      <c r="D204" s="498"/>
      <c r="E204" s="498"/>
      <c r="F204" s="498"/>
      <c r="G204" s="498"/>
      <c r="H204" s="516"/>
      <c r="I204" s="516"/>
      <c r="J204" s="498"/>
      <c r="K204" s="498"/>
      <c r="L204" s="498"/>
      <c r="M204" s="498"/>
      <c r="N204" s="539"/>
      <c r="O204" s="502"/>
      <c r="P204" s="502"/>
    </row>
    <row r="205" s="394" customFormat="1" hidden="1" spans="1:16">
      <c r="A205" s="516"/>
      <c r="B205" s="516"/>
      <c r="C205" s="498"/>
      <c r="D205" s="498"/>
      <c r="E205" s="498"/>
      <c r="F205" s="498"/>
      <c r="G205" s="498"/>
      <c r="H205" s="516"/>
      <c r="I205" s="516"/>
      <c r="J205" s="498"/>
      <c r="K205" s="498"/>
      <c r="L205" s="498"/>
      <c r="M205" s="498"/>
      <c r="N205" s="539"/>
      <c r="O205" s="502"/>
      <c r="P205" s="502"/>
    </row>
    <row r="206" s="394" customFormat="1" hidden="1" spans="1:16">
      <c r="A206" s="516"/>
      <c r="B206" s="516"/>
      <c r="C206" s="498"/>
      <c r="D206" s="498"/>
      <c r="E206" s="498"/>
      <c r="F206" s="498"/>
      <c r="G206" s="498"/>
      <c r="H206" s="516"/>
      <c r="I206" s="516"/>
      <c r="J206" s="498"/>
      <c r="K206" s="498"/>
      <c r="L206" s="498"/>
      <c r="M206" s="498"/>
      <c r="N206" s="539"/>
      <c r="O206" s="502"/>
      <c r="P206" s="502"/>
    </row>
    <row r="207" s="394" customFormat="1" hidden="1" spans="1:16">
      <c r="A207" s="516"/>
      <c r="B207" s="516"/>
      <c r="C207" s="498"/>
      <c r="D207" s="498"/>
      <c r="E207" s="498"/>
      <c r="F207" s="498"/>
      <c r="G207" s="498"/>
      <c r="H207" s="516"/>
      <c r="I207" s="516"/>
      <c r="J207" s="498"/>
      <c r="K207" s="498"/>
      <c r="L207" s="498"/>
      <c r="M207" s="498"/>
      <c r="N207" s="539"/>
      <c r="O207" s="502"/>
      <c r="P207" s="502"/>
    </row>
    <row r="208" s="394" customFormat="1" hidden="1" spans="1:16">
      <c r="A208" s="516"/>
      <c r="B208" s="516"/>
      <c r="C208" s="498"/>
      <c r="D208" s="498"/>
      <c r="E208" s="498"/>
      <c r="F208" s="498"/>
      <c r="G208" s="498"/>
      <c r="H208" s="516"/>
      <c r="I208" s="516"/>
      <c r="J208" s="498"/>
      <c r="K208" s="498"/>
      <c r="L208" s="498"/>
      <c r="M208" s="498"/>
      <c r="N208" s="539"/>
      <c r="O208" s="502"/>
      <c r="P208" s="502"/>
    </row>
    <row r="209" s="394" customFormat="1" hidden="1"/>
    <row r="210" s="394" customFormat="1" hidden="1" spans="1:1">
      <c r="A210" s="394" t="s">
        <v>144</v>
      </c>
    </row>
    <row r="211" s="394" customFormat="1" hidden="1" spans="1:4">
      <c r="A211" s="394" t="s">
        <v>138</v>
      </c>
      <c r="D211" s="436"/>
    </row>
    <row r="212" s="394" customFormat="1" hidden="1" spans="4:4">
      <c r="D212" s="436"/>
    </row>
    <row r="213" s="394" customFormat="1" hidden="1" spans="1:1">
      <c r="A213" s="517" t="s">
        <v>145</v>
      </c>
    </row>
    <row r="214" s="394" customFormat="1" hidden="1" spans="1:1">
      <c r="A214" s="394" t="s">
        <v>146</v>
      </c>
    </row>
    <row r="215" s="394" customFormat="1" hidden="1" spans="1:1">
      <c r="A215" s="394" t="s">
        <v>147</v>
      </c>
    </row>
    <row r="216" s="395" customFormat="1" hidden="1"/>
    <row r="217" s="395" customFormat="1" hidden="1"/>
    <row r="218" s="395" customFormat="1"/>
    <row r="219" s="395" customFormat="1" spans="1:16">
      <c r="A219" s="399" t="s">
        <v>148</v>
      </c>
      <c r="B219" s="399"/>
      <c r="C219" s="399"/>
      <c r="D219" s="399"/>
      <c r="E219" s="399"/>
      <c r="F219" s="399"/>
      <c r="G219" s="399"/>
      <c r="H219" s="399"/>
      <c r="I219" s="399"/>
      <c r="J219" s="399"/>
      <c r="K219" s="399"/>
      <c r="L219" s="399"/>
      <c r="M219" s="399"/>
      <c r="N219" s="399"/>
      <c r="O219" s="399"/>
      <c r="P219" s="399"/>
    </row>
    <row r="220" s="395" customFormat="1" spans="1:16">
      <c r="A220" s="399"/>
      <c r="B220" s="399"/>
      <c r="C220" s="399"/>
      <c r="D220" s="399"/>
      <c r="E220" s="399"/>
      <c r="F220" s="399"/>
      <c r="G220" s="399"/>
      <c r="H220" s="399"/>
      <c r="I220" s="399"/>
      <c r="J220" s="399"/>
      <c r="K220" s="399"/>
      <c r="L220" s="399"/>
      <c r="M220" s="399"/>
      <c r="N220" s="399"/>
      <c r="O220" s="399"/>
      <c r="P220" s="399"/>
    </row>
    <row r="221" s="395" customFormat="1" spans="1:16">
      <c r="A221" s="518" t="s">
        <v>149</v>
      </c>
      <c r="B221" s="399"/>
      <c r="C221" s="399"/>
      <c r="D221" s="399"/>
      <c r="E221" s="399"/>
      <c r="F221" s="399"/>
      <c r="G221" s="399"/>
      <c r="H221" s="416"/>
      <c r="I221" s="478"/>
      <c r="J221" s="478"/>
      <c r="K221" s="478"/>
      <c r="L221" s="478"/>
      <c r="M221" s="478"/>
      <c r="N221" s="478"/>
      <c r="O221" s="478"/>
      <c r="P221" s="399"/>
    </row>
    <row r="222" s="395" customFormat="1" ht="92.25" customHeight="1" spans="1:16">
      <c r="A222" s="519" t="s">
        <v>150</v>
      </c>
      <c r="B222" s="519"/>
      <c r="C222" s="519"/>
      <c r="D222" s="519"/>
      <c r="E222" s="519"/>
      <c r="F222" s="519"/>
      <c r="G222" s="519"/>
      <c r="H222" s="519"/>
      <c r="I222" s="519"/>
      <c r="J222" s="519"/>
      <c r="K222" s="519"/>
      <c r="L222" s="519"/>
      <c r="M222" s="519"/>
      <c r="N222" s="519"/>
      <c r="O222" s="519"/>
      <c r="P222" s="399"/>
    </row>
    <row r="223" s="395" customFormat="1" ht="8.25" customHeight="1" spans="1:16">
      <c r="A223" s="399"/>
      <c r="B223" s="399"/>
      <c r="C223" s="399"/>
      <c r="D223" s="399"/>
      <c r="E223" s="399"/>
      <c r="F223" s="399"/>
      <c r="G223" s="399"/>
      <c r="H223" s="399"/>
      <c r="I223" s="399"/>
      <c r="J223" s="399"/>
      <c r="K223" s="399"/>
      <c r="L223" s="399"/>
      <c r="M223" s="399"/>
      <c r="N223" s="399"/>
      <c r="O223" s="399"/>
      <c r="P223" s="399"/>
    </row>
    <row r="224" s="395" customFormat="1" spans="1:16">
      <c r="A224" s="518" t="s">
        <v>151</v>
      </c>
      <c r="B224" s="399"/>
      <c r="C224" s="399"/>
      <c r="D224" s="399"/>
      <c r="E224" s="399"/>
      <c r="F224" s="399"/>
      <c r="G224" s="399"/>
      <c r="H224" s="399"/>
      <c r="I224" s="399"/>
      <c r="J224" s="478"/>
      <c r="K224" s="478"/>
      <c r="L224" s="478"/>
      <c r="M224" s="478"/>
      <c r="N224" s="478"/>
      <c r="O224" s="478"/>
      <c r="P224" s="399"/>
    </row>
    <row r="225" s="395" customFormat="1" ht="48" customHeight="1" spans="1:16">
      <c r="A225" s="519" t="s">
        <v>152</v>
      </c>
      <c r="B225" s="520"/>
      <c r="C225" s="520"/>
      <c r="D225" s="520"/>
      <c r="E225" s="520"/>
      <c r="F225" s="520"/>
      <c r="G225" s="520"/>
      <c r="H225" s="520"/>
      <c r="I225" s="520"/>
      <c r="J225" s="520"/>
      <c r="K225" s="520"/>
      <c r="L225" s="520"/>
      <c r="M225" s="520"/>
      <c r="N225" s="520"/>
      <c r="O225" s="520"/>
      <c r="P225" s="399"/>
    </row>
    <row r="226" s="395" customFormat="1" spans="1:16">
      <c r="A226" s="399"/>
      <c r="B226" s="399"/>
      <c r="C226" s="399"/>
      <c r="D226" s="399"/>
      <c r="E226" s="399"/>
      <c r="F226" s="399"/>
      <c r="G226" s="399"/>
      <c r="H226" s="399"/>
      <c r="I226" s="399"/>
      <c r="J226" s="399"/>
      <c r="K226" s="399"/>
      <c r="L226" s="399"/>
      <c r="M226" s="399"/>
      <c r="N226" s="399"/>
      <c r="O226" s="399"/>
      <c r="P226" s="399"/>
    </row>
    <row r="227" s="394" customFormat="1" spans="1:1">
      <c r="A227" s="394" t="s">
        <v>153</v>
      </c>
    </row>
    <row r="228" s="394" customFormat="1"/>
    <row r="229" s="394" customFormat="1" ht="46.5" customHeight="1" spans="1:13">
      <c r="A229" s="436" t="s">
        <v>154</v>
      </c>
      <c r="B229" s="436"/>
      <c r="C229" s="436"/>
      <c r="D229" s="436" t="s">
        <v>155</v>
      </c>
      <c r="E229" s="436"/>
      <c r="F229" s="436"/>
      <c r="G229" s="436"/>
      <c r="H229" s="521" t="s">
        <v>156</v>
      </c>
      <c r="I229" s="521"/>
      <c r="J229" s="521"/>
      <c r="K229" s="521"/>
      <c r="L229" s="521"/>
      <c r="M229" s="521"/>
    </row>
    <row r="230" s="394" customFormat="1" spans="1:13">
      <c r="A230" s="515">
        <v>1</v>
      </c>
      <c r="B230" s="515"/>
      <c r="C230" s="515"/>
      <c r="D230" s="515">
        <v>2</v>
      </c>
      <c r="E230" s="515"/>
      <c r="F230" s="515"/>
      <c r="G230" s="515"/>
      <c r="H230" s="515">
        <v>3</v>
      </c>
      <c r="I230" s="515"/>
      <c r="J230" s="515"/>
      <c r="K230" s="515"/>
      <c r="L230" s="515"/>
      <c r="M230" s="515"/>
    </row>
    <row r="231" s="394" customFormat="1" spans="1:13">
      <c r="A231" s="522" t="s">
        <v>157</v>
      </c>
      <c r="B231" s="489"/>
      <c r="C231" s="523"/>
      <c r="D231" s="524" t="s">
        <v>158</v>
      </c>
      <c r="E231" s="525"/>
      <c r="F231" s="525"/>
      <c r="G231" s="526"/>
      <c r="H231" s="436" t="s">
        <v>115</v>
      </c>
      <c r="I231" s="436"/>
      <c r="J231" s="436"/>
      <c r="K231" s="436"/>
      <c r="L231" s="436"/>
      <c r="M231" s="436"/>
    </row>
    <row r="232" s="394" customFormat="1" hidden="1" spans="1:13">
      <c r="A232" s="496"/>
      <c r="B232" s="527"/>
      <c r="C232" s="497"/>
      <c r="D232" s="496"/>
      <c r="E232" s="527"/>
      <c r="F232" s="527"/>
      <c r="G232" s="497"/>
      <c r="H232" s="436"/>
      <c r="I232" s="436"/>
      <c r="J232" s="436"/>
      <c r="K232" s="436"/>
      <c r="L232" s="436"/>
      <c r="M232" s="436"/>
    </row>
    <row r="233" s="395" customFormat="1"/>
    <row r="234" s="395" customFormat="1"/>
    <row r="235" ht="63" customHeight="1" spans="1:15">
      <c r="A235" s="397" t="s">
        <v>159</v>
      </c>
      <c r="G235" s="528" t="s">
        <v>160</v>
      </c>
      <c r="H235" s="528"/>
      <c r="I235" s="528"/>
      <c r="J235" s="528"/>
      <c r="K235" s="528"/>
      <c r="L235" s="528"/>
      <c r="M235" s="528"/>
      <c r="N235" s="528"/>
      <c r="O235" s="528"/>
    </row>
    <row r="236" spans="1:15">
      <c r="A236" s="397" t="s">
        <v>161</v>
      </c>
      <c r="H236" s="478" t="s">
        <v>162</v>
      </c>
      <c r="I236" s="478"/>
      <c r="J236" s="478"/>
      <c r="K236" s="478"/>
      <c r="L236" s="478"/>
      <c r="M236" s="478"/>
      <c r="N236" s="478"/>
      <c r="O236" s="478"/>
    </row>
    <row r="237" ht="28.5" customHeight="1" spans="1:15">
      <c r="A237" s="397" t="s">
        <v>163</v>
      </c>
      <c r="G237" s="529" t="s">
        <v>164</v>
      </c>
      <c r="H237" s="530"/>
      <c r="I237" s="530"/>
      <c r="J237" s="530"/>
      <c r="K237" s="530"/>
      <c r="L237" s="530"/>
      <c r="M237" s="530"/>
      <c r="N237" s="530"/>
      <c r="O237" s="530"/>
    </row>
    <row r="238" s="393" customFormat="1" ht="17.25" customHeight="1" spans="1:15">
      <c r="A238" s="393" t="s">
        <v>165</v>
      </c>
      <c r="G238" s="531"/>
      <c r="H238" s="532"/>
      <c r="I238" s="532"/>
      <c r="J238" s="532"/>
      <c r="K238" s="532"/>
      <c r="L238" s="532"/>
      <c r="M238" s="532"/>
      <c r="N238" s="532"/>
      <c r="O238" s="532"/>
    </row>
    <row r="239" s="393" customFormat="1" ht="17.25" customHeight="1" spans="7:15">
      <c r="G239" s="531"/>
      <c r="H239" s="532"/>
      <c r="I239" s="532"/>
      <c r="J239" s="532"/>
      <c r="K239" s="532"/>
      <c r="L239" s="532"/>
      <c r="M239" s="532"/>
      <c r="N239" s="532"/>
      <c r="O239" s="532"/>
    </row>
    <row r="240" spans="1:15">
      <c r="A240" s="397" t="s">
        <v>166</v>
      </c>
      <c r="G240" s="478"/>
      <c r="H240" s="402"/>
      <c r="I240" s="402"/>
      <c r="J240" s="402"/>
      <c r="K240" s="402"/>
      <c r="L240" s="402"/>
      <c r="M240" s="402"/>
      <c r="N240" s="402"/>
      <c r="O240" s="402"/>
    </row>
    <row r="241" spans="1:15">
      <c r="A241" s="478"/>
      <c r="B241" s="478"/>
      <c r="C241" s="478"/>
      <c r="D241" s="478"/>
      <c r="E241" s="478"/>
      <c r="F241" s="478"/>
      <c r="G241" s="478"/>
      <c r="H241" s="478"/>
      <c r="I241" s="478"/>
      <c r="J241" s="478"/>
      <c r="K241" s="478"/>
      <c r="L241" s="478"/>
      <c r="M241" s="478"/>
      <c r="N241" s="478"/>
      <c r="O241" s="478"/>
    </row>
    <row r="243" spans="1:15">
      <c r="A243" s="397" t="s">
        <v>167</v>
      </c>
      <c r="G243" s="478"/>
      <c r="H243" s="478"/>
      <c r="I243" s="478"/>
      <c r="J243" s="478"/>
      <c r="K243" s="478"/>
      <c r="L243" s="478"/>
      <c r="M243" s="478"/>
      <c r="N243" s="478"/>
      <c r="O243" s="478"/>
    </row>
    <row r="244" spans="1:15">
      <c r="A244" s="478"/>
      <c r="B244" s="478"/>
      <c r="C244" s="478"/>
      <c r="D244" s="478"/>
      <c r="E244" s="478"/>
      <c r="F244" s="478"/>
      <c r="G244" s="478"/>
      <c r="H244" s="478"/>
      <c r="I244" s="478"/>
      <c r="J244" s="478"/>
      <c r="K244" s="478"/>
      <c r="L244" s="478"/>
      <c r="M244" s="478"/>
      <c r="N244" s="478"/>
      <c r="O244" s="478"/>
    </row>
    <row r="247" ht="12.6" customHeight="1"/>
    <row r="248" s="396" customFormat="1" ht="11.25" customHeight="1" spans="1:18">
      <c r="A248" s="533" t="s">
        <v>168</v>
      </c>
      <c r="B248" s="533"/>
      <c r="C248" s="533"/>
      <c r="D248" s="533"/>
      <c r="E248" s="533"/>
      <c r="F248" s="533"/>
      <c r="G248" s="533"/>
      <c r="H248" s="533"/>
      <c r="I248" s="533"/>
      <c r="J248" s="533"/>
      <c r="K248" s="533"/>
      <c r="L248" s="533"/>
      <c r="M248" s="533"/>
      <c r="N248" s="533"/>
      <c r="O248" s="533"/>
      <c r="P248" s="533"/>
      <c r="Q248" s="533"/>
      <c r="R248" s="533"/>
    </row>
    <row r="249" s="396" customFormat="1" ht="24.75" customHeight="1" spans="1:18">
      <c r="A249" s="534" t="s">
        <v>169</v>
      </c>
      <c r="B249" s="534"/>
      <c r="C249" s="534"/>
      <c r="D249" s="534"/>
      <c r="E249" s="534"/>
      <c r="F249" s="534"/>
      <c r="G249" s="534"/>
      <c r="H249" s="534"/>
      <c r="I249" s="534"/>
      <c r="J249" s="534"/>
      <c r="K249" s="534"/>
      <c r="L249" s="534"/>
      <c r="M249" s="534"/>
      <c r="N249" s="534"/>
      <c r="O249" s="534"/>
      <c r="P249" s="534"/>
      <c r="Q249" s="534"/>
      <c r="R249" s="534"/>
    </row>
    <row r="250" s="396" customFormat="1" ht="35.25" customHeight="1" spans="1:18">
      <c r="A250" s="535" t="s">
        <v>170</v>
      </c>
      <c r="B250" s="535"/>
      <c r="C250" s="535"/>
      <c r="D250" s="535"/>
      <c r="E250" s="535"/>
      <c r="F250" s="535"/>
      <c r="G250" s="535"/>
      <c r="H250" s="535"/>
      <c r="I250" s="535"/>
      <c r="J250" s="535"/>
      <c r="K250" s="535"/>
      <c r="L250" s="535"/>
      <c r="M250" s="535"/>
      <c r="N250" s="535"/>
      <c r="O250" s="535"/>
      <c r="P250" s="535"/>
      <c r="Q250" s="535"/>
      <c r="R250" s="535"/>
    </row>
    <row r="251" s="396" customFormat="1" ht="12" spans="1:1">
      <c r="A251" s="396" t="s">
        <v>171</v>
      </c>
    </row>
    <row r="252" s="396" customFormat="1" ht="12" spans="1:1">
      <c r="A252" s="396" t="s">
        <v>172</v>
      </c>
    </row>
    <row r="253" s="396" customFormat="1" ht="29.25" customHeight="1" spans="1:18">
      <c r="A253" s="535" t="s">
        <v>173</v>
      </c>
      <c r="B253" s="535"/>
      <c r="C253" s="535"/>
      <c r="D253" s="535"/>
      <c r="E253" s="535"/>
      <c r="F253" s="535"/>
      <c r="G253" s="535"/>
      <c r="H253" s="535"/>
      <c r="I253" s="535"/>
      <c r="J253" s="535"/>
      <c r="K253" s="535"/>
      <c r="L253" s="535"/>
      <c r="M253" s="535"/>
      <c r="N253" s="535"/>
      <c r="O253" s="535"/>
      <c r="P253" s="535"/>
      <c r="Q253" s="535"/>
      <c r="R253" s="535"/>
    </row>
    <row r="254" s="396" customFormat="1" ht="29.25" customHeight="1" spans="1:18">
      <c r="A254" s="535" t="s">
        <v>174</v>
      </c>
      <c r="B254" s="535"/>
      <c r="C254" s="535"/>
      <c r="D254" s="535"/>
      <c r="E254" s="535"/>
      <c r="F254" s="535"/>
      <c r="G254" s="535"/>
      <c r="H254" s="535"/>
      <c r="I254" s="535"/>
      <c r="J254" s="535"/>
      <c r="K254" s="535"/>
      <c r="L254" s="535"/>
      <c r="M254" s="535"/>
      <c r="N254" s="535"/>
      <c r="O254" s="535"/>
      <c r="P254" s="535"/>
      <c r="Q254" s="535"/>
      <c r="R254" s="535"/>
    </row>
    <row r="255" s="396" customFormat="1" ht="12" spans="1:1">
      <c r="A255" s="396" t="s">
        <v>175</v>
      </c>
    </row>
    <row r="256" s="396" customFormat="1" ht="73.5" customHeight="1" spans="1:18">
      <c r="A256" s="535" t="s">
        <v>176</v>
      </c>
      <c r="B256" s="535"/>
      <c r="C256" s="535"/>
      <c r="D256" s="535"/>
      <c r="E256" s="535"/>
      <c r="F256" s="535"/>
      <c r="G256" s="535"/>
      <c r="H256" s="535"/>
      <c r="I256" s="535"/>
      <c r="J256" s="535"/>
      <c r="K256" s="535"/>
      <c r="L256" s="535"/>
      <c r="M256" s="535"/>
      <c r="N256" s="535"/>
      <c r="O256" s="535"/>
      <c r="P256" s="535"/>
      <c r="Q256" s="535"/>
      <c r="R256" s="535"/>
    </row>
  </sheetData>
  <mergeCells count="328">
    <mergeCell ref="A8:P8"/>
    <mergeCell ref="A9:P9"/>
    <mergeCell ref="O10:P10"/>
    <mergeCell ref="M11:N11"/>
    <mergeCell ref="O11:P11"/>
    <mergeCell ref="M12:N12"/>
    <mergeCell ref="O12:P12"/>
    <mergeCell ref="M13:N13"/>
    <mergeCell ref="O13:P13"/>
    <mergeCell ref="A14:L14"/>
    <mergeCell ref="M14:N14"/>
    <mergeCell ref="O14:P14"/>
    <mergeCell ref="O15:P15"/>
    <mergeCell ref="A16:L16"/>
    <mergeCell ref="O16:P16"/>
    <mergeCell ref="A17:L17"/>
    <mergeCell ref="O17:P17"/>
    <mergeCell ref="A19:L19"/>
    <mergeCell ref="A20:J20"/>
    <mergeCell ref="A23:P23"/>
    <mergeCell ref="A24:P24"/>
    <mergeCell ref="E26:L26"/>
    <mergeCell ref="A27:L27"/>
    <mergeCell ref="A29:N29"/>
    <mergeCell ref="A30:N30"/>
    <mergeCell ref="C36:E36"/>
    <mergeCell ref="F36:G36"/>
    <mergeCell ref="H36:L36"/>
    <mergeCell ref="M36:P36"/>
    <mergeCell ref="Q36:R36"/>
    <mergeCell ref="J37:L37"/>
    <mergeCell ref="J38:K38"/>
    <mergeCell ref="A39:B39"/>
    <mergeCell ref="H39:I39"/>
    <mergeCell ref="J39:K39"/>
    <mergeCell ref="O39:P39"/>
    <mergeCell ref="A40:B40"/>
    <mergeCell ref="H40:I40"/>
    <mergeCell ref="J40:K40"/>
    <mergeCell ref="O40:P40"/>
    <mergeCell ref="A41:B41"/>
    <mergeCell ref="H41:I41"/>
    <mergeCell ref="J41:K41"/>
    <mergeCell ref="O41:P41"/>
    <mergeCell ref="C48:E48"/>
    <mergeCell ref="F48:G48"/>
    <mergeCell ref="H48:J48"/>
    <mergeCell ref="K48:M48"/>
    <mergeCell ref="N48:P48"/>
    <mergeCell ref="Q48:R48"/>
    <mergeCell ref="I49:J49"/>
    <mergeCell ref="A51:B51"/>
    <mergeCell ref="A52:B52"/>
    <mergeCell ref="A53:B53"/>
    <mergeCell ref="A65:M65"/>
    <mergeCell ref="B66:D66"/>
    <mergeCell ref="G66:M66"/>
    <mergeCell ref="B67:D67"/>
    <mergeCell ref="G67:M67"/>
    <mergeCell ref="B68:D68"/>
    <mergeCell ref="G68:M68"/>
    <mergeCell ref="B69:D69"/>
    <mergeCell ref="G69:M69"/>
    <mergeCell ref="B70:D70"/>
    <mergeCell ref="G70:M70"/>
    <mergeCell ref="B71:D71"/>
    <mergeCell ref="G71:M71"/>
    <mergeCell ref="A77:P77"/>
    <mergeCell ref="A78:M78"/>
    <mergeCell ref="A79:M79"/>
    <mergeCell ref="A80:M80"/>
    <mergeCell ref="A81:M81"/>
    <mergeCell ref="A83:L83"/>
    <mergeCell ref="A88:C88"/>
    <mergeCell ref="D88:G88"/>
    <mergeCell ref="H88:K88"/>
    <mergeCell ref="A89:C89"/>
    <mergeCell ref="D89:G89"/>
    <mergeCell ref="H89:K89"/>
    <mergeCell ref="A90:C90"/>
    <mergeCell ref="D90:G90"/>
    <mergeCell ref="H90:K90"/>
    <mergeCell ref="A91:C91"/>
    <mergeCell ref="D91:G91"/>
    <mergeCell ref="H91:K91"/>
    <mergeCell ref="A93:P93"/>
    <mergeCell ref="E95:L95"/>
    <mergeCell ref="A96:L96"/>
    <mergeCell ref="A98:N98"/>
    <mergeCell ref="A99:N99"/>
    <mergeCell ref="C105:E105"/>
    <mergeCell ref="F105:G105"/>
    <mergeCell ref="H105:L105"/>
    <mergeCell ref="M105:P105"/>
    <mergeCell ref="Q105:R105"/>
    <mergeCell ref="J106:L106"/>
    <mergeCell ref="J107:K107"/>
    <mergeCell ref="A108:B108"/>
    <mergeCell ref="H108:I108"/>
    <mergeCell ref="J108:K108"/>
    <mergeCell ref="O108:P108"/>
    <mergeCell ref="A109:B109"/>
    <mergeCell ref="H109:I109"/>
    <mergeCell ref="J109:K109"/>
    <mergeCell ref="O109:P109"/>
    <mergeCell ref="A110:B110"/>
    <mergeCell ref="H110:I110"/>
    <mergeCell ref="J110:K110"/>
    <mergeCell ref="O110:P110"/>
    <mergeCell ref="A111:B111"/>
    <mergeCell ref="H111:I111"/>
    <mergeCell ref="J111:K111"/>
    <mergeCell ref="O111:P111"/>
    <mergeCell ref="A112:B112"/>
    <mergeCell ref="H112:I112"/>
    <mergeCell ref="J112:K112"/>
    <mergeCell ref="O112:P112"/>
    <mergeCell ref="C120:E120"/>
    <mergeCell ref="F120:G120"/>
    <mergeCell ref="H120:J120"/>
    <mergeCell ref="K120:M120"/>
    <mergeCell ref="N120:P120"/>
    <mergeCell ref="Q120:R120"/>
    <mergeCell ref="I121:J121"/>
    <mergeCell ref="A123:B123"/>
    <mergeCell ref="A124:B124"/>
    <mergeCell ref="A125:B125"/>
    <mergeCell ref="A126:B126"/>
    <mergeCell ref="A127:B127"/>
    <mergeCell ref="A139:M139"/>
    <mergeCell ref="B140:D140"/>
    <mergeCell ref="G140:M140"/>
    <mergeCell ref="B141:D141"/>
    <mergeCell ref="G141:M141"/>
    <mergeCell ref="B142:D142"/>
    <mergeCell ref="G142:M142"/>
    <mergeCell ref="B143:D143"/>
    <mergeCell ref="G143:M143"/>
    <mergeCell ref="B144:D144"/>
    <mergeCell ref="G144:M144"/>
    <mergeCell ref="A150:P150"/>
    <mergeCell ref="A151:M151"/>
    <mergeCell ref="A152:M152"/>
    <mergeCell ref="A153:M153"/>
    <mergeCell ref="A154:M154"/>
    <mergeCell ref="A155:L155"/>
    <mergeCell ref="A160:C160"/>
    <mergeCell ref="D160:G160"/>
    <mergeCell ref="H160:K160"/>
    <mergeCell ref="A161:C161"/>
    <mergeCell ref="D161:G161"/>
    <mergeCell ref="H161:K161"/>
    <mergeCell ref="A162:C162"/>
    <mergeCell ref="D162:G162"/>
    <mergeCell ref="H162:K162"/>
    <mergeCell ref="A163:C163"/>
    <mergeCell ref="D163:G163"/>
    <mergeCell ref="H163:K163"/>
    <mergeCell ref="A166:P166"/>
    <mergeCell ref="A167:P167"/>
    <mergeCell ref="C169:L169"/>
    <mergeCell ref="A170:L170"/>
    <mergeCell ref="D171:M171"/>
    <mergeCell ref="A172:M172"/>
    <mergeCell ref="C178:E178"/>
    <mergeCell ref="F178:G178"/>
    <mergeCell ref="H178:L178"/>
    <mergeCell ref="M178:P178"/>
    <mergeCell ref="J179:L179"/>
    <mergeCell ref="J180:K180"/>
    <mergeCell ref="A181:B181"/>
    <mergeCell ref="H181:I181"/>
    <mergeCell ref="J181:K181"/>
    <mergeCell ref="O181:P181"/>
    <mergeCell ref="A182:B182"/>
    <mergeCell ref="H182:I182"/>
    <mergeCell ref="J182:K182"/>
    <mergeCell ref="O182:P182"/>
    <mergeCell ref="A183:B183"/>
    <mergeCell ref="H183:I183"/>
    <mergeCell ref="J183:K183"/>
    <mergeCell ref="O183:P183"/>
    <mergeCell ref="A184:B184"/>
    <mergeCell ref="H184:I184"/>
    <mergeCell ref="J184:K184"/>
    <mergeCell ref="O184:P184"/>
    <mergeCell ref="A185:B185"/>
    <mergeCell ref="H185:I185"/>
    <mergeCell ref="J185:K185"/>
    <mergeCell ref="O185:P185"/>
    <mergeCell ref="A186:B186"/>
    <mergeCell ref="H186:I186"/>
    <mergeCell ref="J186:K186"/>
    <mergeCell ref="O186:P186"/>
    <mergeCell ref="A187:B187"/>
    <mergeCell ref="H187:I187"/>
    <mergeCell ref="J187:K187"/>
    <mergeCell ref="O187:P187"/>
    <mergeCell ref="A188:B188"/>
    <mergeCell ref="H188:I188"/>
    <mergeCell ref="J188:K188"/>
    <mergeCell ref="O188:P188"/>
    <mergeCell ref="A189:B189"/>
    <mergeCell ref="H189:I189"/>
    <mergeCell ref="J189:K189"/>
    <mergeCell ref="O189:P189"/>
    <mergeCell ref="B197:D197"/>
    <mergeCell ref="E197:G197"/>
    <mergeCell ref="H197:J197"/>
    <mergeCell ref="K197:M197"/>
    <mergeCell ref="N197:P197"/>
    <mergeCell ref="I198:J198"/>
    <mergeCell ref="A219:P219"/>
    <mergeCell ref="I221:O221"/>
    <mergeCell ref="A222:O222"/>
    <mergeCell ref="J224:O224"/>
    <mergeCell ref="A225:O225"/>
    <mergeCell ref="A229:C229"/>
    <mergeCell ref="D229:G229"/>
    <mergeCell ref="H229:M229"/>
    <mergeCell ref="A230:C230"/>
    <mergeCell ref="D230:G230"/>
    <mergeCell ref="H230:M230"/>
    <mergeCell ref="A231:C231"/>
    <mergeCell ref="D231:G231"/>
    <mergeCell ref="H231:M231"/>
    <mergeCell ref="A232:C232"/>
    <mergeCell ref="D232:G232"/>
    <mergeCell ref="H232:M232"/>
    <mergeCell ref="G235:O235"/>
    <mergeCell ref="H236:O236"/>
    <mergeCell ref="G237:O237"/>
    <mergeCell ref="G240:O240"/>
    <mergeCell ref="A241:O241"/>
    <mergeCell ref="G243:O243"/>
    <mergeCell ref="A244:O244"/>
    <mergeCell ref="A248:R248"/>
    <mergeCell ref="A249:R249"/>
    <mergeCell ref="A250:R250"/>
    <mergeCell ref="A253:R253"/>
    <mergeCell ref="A254:R254"/>
    <mergeCell ref="A256:R256"/>
    <mergeCell ref="A197:A199"/>
    <mergeCell ref="B198:B199"/>
    <mergeCell ref="C37:C38"/>
    <mergeCell ref="C49:C50"/>
    <mergeCell ref="C106:C107"/>
    <mergeCell ref="C121:C122"/>
    <mergeCell ref="C179:C180"/>
    <mergeCell ref="C198:C199"/>
    <mergeCell ref="D37:D38"/>
    <mergeCell ref="D49:D50"/>
    <mergeCell ref="D106:D107"/>
    <mergeCell ref="D121:D122"/>
    <mergeCell ref="D179:D180"/>
    <mergeCell ref="D192:D193"/>
    <mergeCell ref="D198:D199"/>
    <mergeCell ref="D211:D212"/>
    <mergeCell ref="E37:E38"/>
    <mergeCell ref="E49:E50"/>
    <mergeCell ref="E106:E107"/>
    <mergeCell ref="E121:E122"/>
    <mergeCell ref="E179:E180"/>
    <mergeCell ref="E198:E199"/>
    <mergeCell ref="F37:F38"/>
    <mergeCell ref="F49:F50"/>
    <mergeCell ref="F106:F107"/>
    <mergeCell ref="F121:F122"/>
    <mergeCell ref="F179:F180"/>
    <mergeCell ref="F198:F199"/>
    <mergeCell ref="G37:G38"/>
    <mergeCell ref="G49:G50"/>
    <mergeCell ref="G106:G107"/>
    <mergeCell ref="G121:G122"/>
    <mergeCell ref="G179:G180"/>
    <mergeCell ref="G198:G199"/>
    <mergeCell ref="H49:H50"/>
    <mergeCell ref="H121:H122"/>
    <mergeCell ref="H198:H199"/>
    <mergeCell ref="K49:K50"/>
    <mergeCell ref="K121:K122"/>
    <mergeCell ref="K198:K199"/>
    <mergeCell ref="L49:L50"/>
    <mergeCell ref="L121:L122"/>
    <mergeCell ref="L198:L199"/>
    <mergeCell ref="M37:M38"/>
    <mergeCell ref="M49:M50"/>
    <mergeCell ref="M106:M107"/>
    <mergeCell ref="M121:M122"/>
    <mergeCell ref="M179:M180"/>
    <mergeCell ref="M198:M199"/>
    <mergeCell ref="N37:N38"/>
    <mergeCell ref="N49:N50"/>
    <mergeCell ref="N106:N107"/>
    <mergeCell ref="N121:N122"/>
    <mergeCell ref="N179:N180"/>
    <mergeCell ref="N198:N199"/>
    <mergeCell ref="O49:O50"/>
    <mergeCell ref="O121:O122"/>
    <mergeCell ref="O198:O199"/>
    <mergeCell ref="P49:P50"/>
    <mergeCell ref="P121:P122"/>
    <mergeCell ref="P198:P199"/>
    <mergeCell ref="Q37:Q38"/>
    <mergeCell ref="Q49:Q50"/>
    <mergeCell ref="Q106:Q107"/>
    <mergeCell ref="Q121:Q122"/>
    <mergeCell ref="R37:R38"/>
    <mergeCell ref="R49:R50"/>
    <mergeCell ref="R106:R107"/>
    <mergeCell ref="R121:R122"/>
    <mergeCell ref="O106:P107"/>
    <mergeCell ref="O179:P180"/>
    <mergeCell ref="O169:P171"/>
    <mergeCell ref="H179:I180"/>
    <mergeCell ref="A178:B180"/>
    <mergeCell ref="M95:N97"/>
    <mergeCell ref="O95:P97"/>
    <mergeCell ref="H106:I107"/>
    <mergeCell ref="A105:B107"/>
    <mergeCell ref="O18:P19"/>
    <mergeCell ref="O37:P38"/>
    <mergeCell ref="M26:N28"/>
    <mergeCell ref="O26:P28"/>
    <mergeCell ref="A36:B38"/>
    <mergeCell ref="H37:I38"/>
    <mergeCell ref="A48:B50"/>
    <mergeCell ref="A120:B122"/>
  </mergeCells>
  <pageMargins left="0.16" right="0.16" top="0.33" bottom="0.32" header="0.28" footer="0.29"/>
  <pageSetup paperSize="9" scale="73" fitToHeight="0" orientation="landscape"/>
  <headerFooter/>
  <rowBreaks count="1" manualBreakCount="1">
    <brk id="92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  <pageSetUpPr fitToPage="1"/>
  </sheetPr>
  <dimension ref="A1:CD144"/>
  <sheetViews>
    <sheetView tabSelected="1" view="pageBreakPreview" zoomScale="80" zoomScaleNormal="100" topLeftCell="A4" workbookViewId="0">
      <pane xSplit="2" ySplit="2" topLeftCell="C95" activePane="bottomRight" state="frozen"/>
      <selection/>
      <selection pane="topRight"/>
      <selection pane="bottomLeft"/>
      <selection pane="bottomRight" activeCell="F134" sqref="F134"/>
    </sheetView>
  </sheetViews>
  <sheetFormatPr defaultColWidth="9.14285714285714" defaultRowHeight="12.75"/>
  <cols>
    <col min="1" max="1" width="30" style="7" customWidth="1"/>
    <col min="2" max="2" width="10" style="7" customWidth="1"/>
    <col min="3" max="3" width="19" style="7" customWidth="1"/>
    <col min="4" max="4" width="17.4285714285714" style="7" customWidth="1"/>
    <col min="5" max="5" width="20.4285714285714" style="7" customWidth="1"/>
    <col min="6" max="6" width="19.5714285714286" style="2" customWidth="1"/>
    <col min="7" max="7" width="18.2857142857143" style="2" customWidth="1"/>
    <col min="8" max="8" width="16.7142857142857" style="2" customWidth="1"/>
    <col min="9" max="9" width="16.1428571428571" style="2" customWidth="1"/>
    <col min="10" max="12" width="15.1428571428571" style="2" customWidth="1"/>
    <col min="13" max="82" width="9.14285714285714" style="2"/>
    <col min="83" max="16384" width="9.14285714285714" style="7"/>
  </cols>
  <sheetData>
    <row r="1" ht="36.75" customHeight="1" spans="1:11">
      <c r="A1" s="8" t="s">
        <v>357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37.5" customHeight="1" spans="1:11">
      <c r="A2" s="9" t="s">
        <v>358</v>
      </c>
      <c r="B2" s="9"/>
      <c r="C2" s="9"/>
      <c r="D2" s="10" t="str">
        <f>мун.зад.!A14</f>
        <v>Муниципальное автономное дошкольное образовательное учреждение Центр развития ребенка - детский сад №150 города Пензы "Алый парус"</v>
      </c>
      <c r="E2" s="10"/>
      <c r="F2" s="10"/>
      <c r="G2" s="10"/>
      <c r="H2" s="10"/>
      <c r="I2" s="10"/>
      <c r="J2" s="10"/>
      <c r="K2" s="10"/>
    </row>
    <row r="3" ht="60" customHeight="1" spans="1:11">
      <c r="A3" s="11" t="s">
        <v>359</v>
      </c>
      <c r="B3" s="12"/>
      <c r="C3" s="13"/>
      <c r="D3" s="14" t="s">
        <v>183</v>
      </c>
      <c r="E3" s="14" t="s">
        <v>360</v>
      </c>
      <c r="F3" s="14" t="s">
        <v>361</v>
      </c>
      <c r="G3" s="15" t="s">
        <v>362</v>
      </c>
      <c r="H3" s="15" t="s">
        <v>363</v>
      </c>
      <c r="I3" s="15" t="s">
        <v>364</v>
      </c>
      <c r="J3" s="15" t="s">
        <v>365</v>
      </c>
      <c r="K3" s="15" t="s">
        <v>366</v>
      </c>
    </row>
    <row r="4" ht="40.5" customHeight="1" spans="1:11">
      <c r="A4" s="16" t="s">
        <v>367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ht="40.5" customHeight="1" spans="1:11">
      <c r="A5" s="17" t="s">
        <v>368</v>
      </c>
      <c r="B5" s="18"/>
      <c r="C5" s="19"/>
      <c r="D5" s="18">
        <f>'проверка 2020'!I12+'проверка 2020'!J12</f>
        <v>635</v>
      </c>
      <c r="E5" s="18">
        <f>'проверка 2020'!I12</f>
        <v>103</v>
      </c>
      <c r="F5" s="18">
        <f>'проверка 2020'!J12</f>
        <v>532</v>
      </c>
      <c r="G5" s="18">
        <f>SUM(H5:K5)</f>
        <v>635</v>
      </c>
      <c r="H5" s="18">
        <f>'проверка 2020'!H24</f>
        <v>103</v>
      </c>
      <c r="I5" s="18">
        <f>'проверка 2020'!I24</f>
        <v>528</v>
      </c>
      <c r="J5" s="18">
        <f>'проверка 2020'!J24</f>
        <v>0</v>
      </c>
      <c r="K5" s="18">
        <f>'проверка 2020'!K24</f>
        <v>4</v>
      </c>
    </row>
    <row r="6" ht="9" customHeight="1" spans="1:1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ht="69" customHeight="1" spans="1:11">
      <c r="A7" s="22" t="s">
        <v>369</v>
      </c>
      <c r="B7" s="22" t="s">
        <v>370</v>
      </c>
      <c r="C7" s="22" t="s">
        <v>371</v>
      </c>
      <c r="D7" s="22" t="s">
        <v>371</v>
      </c>
      <c r="E7" s="22" t="s">
        <v>372</v>
      </c>
      <c r="F7" s="22" t="s">
        <v>372</v>
      </c>
      <c r="G7" s="22" t="s">
        <v>371</v>
      </c>
      <c r="H7" s="22" t="s">
        <v>372</v>
      </c>
      <c r="I7" s="22" t="s">
        <v>372</v>
      </c>
      <c r="J7" s="22" t="s">
        <v>372</v>
      </c>
      <c r="K7" s="22" t="s">
        <v>372</v>
      </c>
    </row>
    <row r="8" ht="42.75" customHeight="1" spans="1:11">
      <c r="A8" s="23" t="s">
        <v>373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ht="37.5" customHeight="1" spans="1:11">
      <c r="A9" s="25" t="s">
        <v>374</v>
      </c>
      <c r="B9" s="26" t="s">
        <v>375</v>
      </c>
      <c r="C9" s="27">
        <f>C16+C22</f>
        <v>15283502.27</v>
      </c>
      <c r="D9" s="27">
        <f t="shared" ref="D9:K9" si="0">D16+D22</f>
        <v>15283502.27</v>
      </c>
      <c r="E9" s="27">
        <f t="shared" si="0"/>
        <v>24068.51</v>
      </c>
      <c r="F9" s="27">
        <f t="shared" si="0"/>
        <v>24068.51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</row>
    <row r="10" ht="48" customHeight="1" spans="1:11">
      <c r="A10" s="25" t="s">
        <v>376</v>
      </c>
      <c r="B10" s="26" t="s">
        <v>375</v>
      </c>
      <c r="C10" s="27">
        <f>C17+C23</f>
        <v>4615617.69</v>
      </c>
      <c r="D10" s="27">
        <f t="shared" ref="D10:K10" si="1">D17+D23</f>
        <v>4615617.69</v>
      </c>
      <c r="E10" s="27">
        <f t="shared" si="1"/>
        <v>7268.69</v>
      </c>
      <c r="F10" s="27">
        <f t="shared" si="1"/>
        <v>7268.69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</row>
    <row r="11" ht="45" spans="1:11">
      <c r="A11" s="28" t="s">
        <v>377</v>
      </c>
      <c r="B11" s="26" t="s">
        <v>375</v>
      </c>
      <c r="C11" s="27">
        <f>C18</f>
        <v>201930</v>
      </c>
      <c r="D11" s="27">
        <f t="shared" ref="D11:K11" si="2">D18</f>
        <v>201930</v>
      </c>
      <c r="E11" s="27">
        <f t="shared" si="2"/>
        <v>318</v>
      </c>
      <c r="F11" s="27">
        <f t="shared" si="2"/>
        <v>318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</row>
    <row r="12" ht="22.5" spans="1:11">
      <c r="A12" s="29" t="s">
        <v>378</v>
      </c>
      <c r="B12" s="26" t="s">
        <v>375</v>
      </c>
      <c r="C12" s="27">
        <f>C19</f>
        <v>41151</v>
      </c>
      <c r="D12" s="27">
        <f t="shared" ref="D12:K12" si="3">D19</f>
        <v>41151</v>
      </c>
      <c r="E12" s="27">
        <f t="shared" si="3"/>
        <v>64.8</v>
      </c>
      <c r="F12" s="27">
        <f t="shared" si="3"/>
        <v>64.81</v>
      </c>
      <c r="G12" s="27">
        <f t="shared" si="3"/>
        <v>0</v>
      </c>
      <c r="H12" s="27">
        <f t="shared" si="3"/>
        <v>0</v>
      </c>
      <c r="I12" s="27">
        <f t="shared" si="3"/>
        <v>0</v>
      </c>
      <c r="J12" s="27">
        <f t="shared" si="3"/>
        <v>0</v>
      </c>
      <c r="K12" s="27">
        <f t="shared" si="3"/>
        <v>0</v>
      </c>
    </row>
    <row r="13" ht="25.5" customHeight="1" spans="1:11">
      <c r="A13" s="25" t="s">
        <v>379</v>
      </c>
      <c r="B13" s="26" t="s">
        <v>375</v>
      </c>
      <c r="C13" s="27">
        <f>C24</f>
        <v>4200</v>
      </c>
      <c r="D13" s="27"/>
      <c r="E13" s="27"/>
      <c r="F13" s="27"/>
      <c r="G13" s="27">
        <f>G24</f>
        <v>4200</v>
      </c>
      <c r="H13" s="27">
        <f t="shared" ref="H13:K13" si="4">H24</f>
        <v>6.61</v>
      </c>
      <c r="I13" s="27">
        <f t="shared" si="4"/>
        <v>6.61</v>
      </c>
      <c r="J13" s="27">
        <f t="shared" si="4"/>
        <v>0</v>
      </c>
      <c r="K13" s="27">
        <f t="shared" si="4"/>
        <v>6.61</v>
      </c>
    </row>
    <row r="14" spans="1:11">
      <c r="A14" s="30" t="s">
        <v>230</v>
      </c>
      <c r="B14" s="31"/>
      <c r="C14" s="32">
        <f>SUM(C9:C13)</f>
        <v>20146400.96</v>
      </c>
      <c r="D14" s="32">
        <f t="shared" ref="D14:K14" si="5">SUM(D9:D13)</f>
        <v>20142200.96</v>
      </c>
      <c r="E14" s="32">
        <f t="shared" si="5"/>
        <v>31720</v>
      </c>
      <c r="F14" s="32">
        <f t="shared" si="5"/>
        <v>31720.01</v>
      </c>
      <c r="G14" s="32">
        <f t="shared" si="5"/>
        <v>4200</v>
      </c>
      <c r="H14" s="32">
        <f t="shared" si="5"/>
        <v>6.61</v>
      </c>
      <c r="I14" s="32">
        <f t="shared" si="5"/>
        <v>6.61</v>
      </c>
      <c r="J14" s="32">
        <f t="shared" si="5"/>
        <v>0</v>
      </c>
      <c r="K14" s="32">
        <f t="shared" si="5"/>
        <v>6.61</v>
      </c>
    </row>
    <row r="15" ht="45" customHeight="1" spans="1:11">
      <c r="A15" s="33" t="s">
        <v>380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ht="37.5" customHeight="1" spans="1:11">
      <c r="A16" s="25" t="s">
        <v>374</v>
      </c>
      <c r="B16" s="26" t="s">
        <v>375</v>
      </c>
      <c r="C16" s="27">
        <f>'прил.1+2'!G12</f>
        <v>15283502.27</v>
      </c>
      <c r="D16" s="27">
        <f>'прил.1+2'!G12</f>
        <v>15283502.27</v>
      </c>
      <c r="E16" s="27">
        <f>ROUND('проверка 2020'!M15/E5,2)</f>
        <v>24068.51</v>
      </c>
      <c r="F16" s="35">
        <f>ROUND('проверка 2020'!O15/F5,2)</f>
        <v>24068.51</v>
      </c>
      <c r="G16" s="35"/>
      <c r="H16" s="35">
        <f t="shared" ref="H16:K19" si="6">IF(H$5&lt;=0,0,IF($G16=0,0,ROUND($G16/($H$5+$I$5+$J$5+$K$5),2)))</f>
        <v>0</v>
      </c>
      <c r="I16" s="35">
        <f t="shared" si="6"/>
        <v>0</v>
      </c>
      <c r="J16" s="35">
        <f t="shared" si="6"/>
        <v>0</v>
      </c>
      <c r="K16" s="35">
        <f t="shared" si="6"/>
        <v>0</v>
      </c>
    </row>
    <row r="17" ht="48.75" customHeight="1" spans="1:11">
      <c r="A17" s="25" t="s">
        <v>376</v>
      </c>
      <c r="B17" s="26" t="s">
        <v>375</v>
      </c>
      <c r="C17" s="36">
        <f>'прил.1+2'!H12+'прил.1+2'!E22+'прил.1+2'!E23</f>
        <v>4615617.69</v>
      </c>
      <c r="D17" s="37">
        <f>'прил.1+2'!H12+'прил.1+2'!E22+'прил.1+2'!E23</f>
        <v>4615617.69</v>
      </c>
      <c r="E17" s="27">
        <f>ROUND('проверка 2020'!M16/E5,2)</f>
        <v>7268.69</v>
      </c>
      <c r="F17" s="35">
        <f>ROUND('проверка 2020'!O16/F5,2)</f>
        <v>7268.69</v>
      </c>
      <c r="G17" s="35"/>
      <c r="H17" s="35">
        <f t="shared" si="6"/>
        <v>0</v>
      </c>
      <c r="I17" s="35">
        <f t="shared" si="6"/>
        <v>0</v>
      </c>
      <c r="J17" s="35">
        <f t="shared" si="6"/>
        <v>0</v>
      </c>
      <c r="K17" s="35">
        <f t="shared" si="6"/>
        <v>0</v>
      </c>
    </row>
    <row r="18" ht="45" spans="1:11">
      <c r="A18" s="28" t="s">
        <v>377</v>
      </c>
      <c r="B18" s="26" t="s">
        <v>375</v>
      </c>
      <c r="C18" s="27">
        <f>'прил.1+2'!F16</f>
        <v>201930</v>
      </c>
      <c r="D18" s="27">
        <f>'прил.1+2'!F16</f>
        <v>201930</v>
      </c>
      <c r="E18" s="27">
        <f>ROUND('проверка 2020'!G18/E5,2)</f>
        <v>318</v>
      </c>
      <c r="F18" s="35">
        <f>ROUND('проверка 2020'!H18/F5,2)</f>
        <v>318</v>
      </c>
      <c r="G18" s="35"/>
      <c r="H18" s="35">
        <f t="shared" si="6"/>
        <v>0</v>
      </c>
      <c r="I18" s="35">
        <f t="shared" si="6"/>
        <v>0</v>
      </c>
      <c r="J18" s="35">
        <f t="shared" si="6"/>
        <v>0</v>
      </c>
      <c r="K18" s="35">
        <f t="shared" si="6"/>
        <v>0</v>
      </c>
    </row>
    <row r="19" ht="22.5" spans="1:11">
      <c r="A19" s="29" t="str">
        <f>A12</f>
        <v> затраты на доп. проф. образование педагогических работников</v>
      </c>
      <c r="B19" s="26" t="s">
        <v>375</v>
      </c>
      <c r="C19" s="27">
        <f>'прил.1+2'!F17</f>
        <v>41151</v>
      </c>
      <c r="D19" s="27">
        <f>'прил.1+2'!F17</f>
        <v>41151</v>
      </c>
      <c r="E19" s="27">
        <f>ROUND('проверка 2020'!G17/E5,2)</f>
        <v>64.8</v>
      </c>
      <c r="F19" s="35">
        <f>ROUND('проверка 2020'!H17/F5,2)</f>
        <v>64.81</v>
      </c>
      <c r="G19" s="35"/>
      <c r="H19" s="35">
        <f t="shared" si="6"/>
        <v>0</v>
      </c>
      <c r="I19" s="35">
        <f t="shared" si="6"/>
        <v>0</v>
      </c>
      <c r="J19" s="35">
        <f t="shared" si="6"/>
        <v>0</v>
      </c>
      <c r="K19" s="35">
        <f t="shared" si="6"/>
        <v>0</v>
      </c>
    </row>
    <row r="20" s="1" customFormat="1" ht="21.75" customHeight="1" spans="1:82">
      <c r="A20" s="38" t="s">
        <v>230</v>
      </c>
      <c r="B20" s="39"/>
      <c r="C20" s="40">
        <f>SUM(C16:C19)</f>
        <v>20142200.96</v>
      </c>
      <c r="D20" s="40">
        <f>SUM(D16:D19)</f>
        <v>20142200.96</v>
      </c>
      <c r="E20" s="40">
        <f t="shared" ref="E20:K20" si="7">SUM(E16:E19)</f>
        <v>31720</v>
      </c>
      <c r="F20" s="40">
        <f t="shared" si="7"/>
        <v>31720.01</v>
      </c>
      <c r="G20" s="40">
        <f t="shared" si="7"/>
        <v>0</v>
      </c>
      <c r="H20" s="40">
        <f t="shared" si="7"/>
        <v>0</v>
      </c>
      <c r="I20" s="40">
        <f t="shared" si="7"/>
        <v>0</v>
      </c>
      <c r="J20" s="40">
        <f t="shared" si="7"/>
        <v>0</v>
      </c>
      <c r="K20" s="40">
        <f t="shared" si="7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="1" customFormat="1" ht="42" customHeight="1" spans="1:82">
      <c r="A21" s="33" t="s">
        <v>381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ht="48" customHeight="1" spans="1:11">
      <c r="A22" s="25" t="s">
        <v>374</v>
      </c>
      <c r="B22" s="26" t="s">
        <v>375</v>
      </c>
      <c r="C22" s="27">
        <f>'прил.1+2'!G33</f>
        <v>0</v>
      </c>
      <c r="D22" s="27"/>
      <c r="E22" s="27"/>
      <c r="F22" s="27"/>
      <c r="G22" s="35">
        <f>'прил.1+2'!G33</f>
        <v>0</v>
      </c>
      <c r="H22" s="35">
        <f t="shared" ref="H22:K24" si="8">IF(H$5&lt;=0,0,IF($G22=0,0,ROUND($G22/($H$5+$I$5+$J$5+$K$5),2)))</f>
        <v>0</v>
      </c>
      <c r="I22" s="35">
        <f t="shared" si="8"/>
        <v>0</v>
      </c>
      <c r="J22" s="35">
        <f t="shared" si="8"/>
        <v>0</v>
      </c>
      <c r="K22" s="35">
        <f t="shared" si="8"/>
        <v>0</v>
      </c>
    </row>
    <row r="23" ht="48" customHeight="1" spans="1:11">
      <c r="A23" s="25" t="s">
        <v>376</v>
      </c>
      <c r="B23" s="26" t="s">
        <v>375</v>
      </c>
      <c r="C23" s="27">
        <f>'прил.1+2'!H33</f>
        <v>0</v>
      </c>
      <c r="D23" s="27"/>
      <c r="E23" s="27"/>
      <c r="F23" s="27"/>
      <c r="G23" s="35">
        <f>'прил.1+2'!H33</f>
        <v>0</v>
      </c>
      <c r="H23" s="35">
        <f>IF(H$5&lt;=0,0,IF($G23=0,0,ROUND($G23/($H$5+$I$5+$J$5+$K$5),2)))</f>
        <v>0</v>
      </c>
      <c r="I23" s="35">
        <f t="shared" si="8"/>
        <v>0</v>
      </c>
      <c r="J23" s="35">
        <f t="shared" si="8"/>
        <v>0</v>
      </c>
      <c r="K23" s="35">
        <f t="shared" si="8"/>
        <v>0</v>
      </c>
    </row>
    <row r="24" ht="27.75" customHeight="1" spans="1:11">
      <c r="A24" s="25" t="s">
        <v>379</v>
      </c>
      <c r="B24" s="26" t="s">
        <v>375</v>
      </c>
      <c r="C24" s="27">
        <f>'прил.1+2'!E38</f>
        <v>4200</v>
      </c>
      <c r="D24" s="27"/>
      <c r="E24" s="27"/>
      <c r="F24" s="27"/>
      <c r="G24" s="35">
        <f>'прил.1+2'!E38</f>
        <v>4200</v>
      </c>
      <c r="H24" s="35">
        <f>IF(H$5&lt;=0,0,IF($G24=0,0,ROUND($G24/($H$5+$I$5+$J$5+$K$5),2)))</f>
        <v>6.61</v>
      </c>
      <c r="I24" s="35">
        <f t="shared" si="8"/>
        <v>6.61</v>
      </c>
      <c r="J24" s="35">
        <f t="shared" si="8"/>
        <v>0</v>
      </c>
      <c r="K24" s="35">
        <f t="shared" si="8"/>
        <v>6.61</v>
      </c>
    </row>
    <row r="25" ht="21.75" customHeight="1" spans="1:11">
      <c r="A25" s="38" t="s">
        <v>230</v>
      </c>
      <c r="B25" s="39"/>
      <c r="C25" s="40">
        <f>SUM(C22:C24)</f>
        <v>4200</v>
      </c>
      <c r="D25" s="40">
        <f t="shared" ref="D25:K25" si="9">SUM(D22:D24)</f>
        <v>0</v>
      </c>
      <c r="E25" s="40">
        <f t="shared" si="9"/>
        <v>0</v>
      </c>
      <c r="F25" s="40">
        <f t="shared" si="9"/>
        <v>0</v>
      </c>
      <c r="G25" s="40">
        <f t="shared" si="9"/>
        <v>4200</v>
      </c>
      <c r="H25" s="40">
        <f t="shared" si="9"/>
        <v>6.61</v>
      </c>
      <c r="I25" s="40">
        <f t="shared" si="9"/>
        <v>6.61</v>
      </c>
      <c r="J25" s="40">
        <f t="shared" si="9"/>
        <v>0</v>
      </c>
      <c r="K25" s="40">
        <f t="shared" si="9"/>
        <v>6.61</v>
      </c>
    </row>
    <row r="26" s="2" customFormat="1" ht="26.25" customHeight="1" spans="1:11">
      <c r="A26" s="41"/>
      <c r="B26" s="42"/>
      <c r="C26" s="42"/>
      <c r="D26" s="42"/>
      <c r="E26" s="42"/>
      <c r="F26" s="43"/>
      <c r="G26" s="43"/>
      <c r="H26" s="43"/>
      <c r="I26" s="43"/>
      <c r="J26" s="43"/>
      <c r="K26" s="43"/>
    </row>
    <row r="27" s="1" customFormat="1" ht="26.25" customHeight="1" spans="1:82">
      <c r="A27" s="34" t="s">
        <v>382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ht="39" customHeight="1" spans="1:11">
      <c r="A28" s="44" t="s">
        <v>383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ht="35.25" customHeight="1" spans="1:11">
      <c r="A29" s="25" t="s">
        <v>384</v>
      </c>
      <c r="B29" s="26" t="s">
        <v>375</v>
      </c>
      <c r="C29" s="27">
        <f t="shared" ref="C29:K29" si="10">C34+C38</f>
        <v>14394222.73</v>
      </c>
      <c r="D29" s="27">
        <f t="shared" si="10"/>
        <v>11506971.73</v>
      </c>
      <c r="E29" s="27">
        <f t="shared" si="10"/>
        <v>18121.21</v>
      </c>
      <c r="F29" s="27">
        <f t="shared" si="10"/>
        <v>18121.22</v>
      </c>
      <c r="G29" s="27">
        <f t="shared" si="10"/>
        <v>2887251</v>
      </c>
      <c r="H29" s="27">
        <f t="shared" si="10"/>
        <v>4546.85</v>
      </c>
      <c r="I29" s="27">
        <f t="shared" si="10"/>
        <v>4546.85</v>
      </c>
      <c r="J29" s="27">
        <f t="shared" si="10"/>
        <v>0</v>
      </c>
      <c r="K29" s="27">
        <f t="shared" si="10"/>
        <v>4546.85</v>
      </c>
    </row>
    <row r="30" ht="46.5" customHeight="1" spans="1:11">
      <c r="A30" s="25" t="s">
        <v>385</v>
      </c>
      <c r="B30" s="26" t="s">
        <v>375</v>
      </c>
      <c r="C30" s="27">
        <f t="shared" ref="C30:K30" si="11">C35+C39</f>
        <v>4317276.31</v>
      </c>
      <c r="D30" s="27">
        <f t="shared" si="11"/>
        <v>3445327.31</v>
      </c>
      <c r="E30" s="27">
        <f t="shared" si="11"/>
        <v>5425.71</v>
      </c>
      <c r="F30" s="27">
        <f t="shared" si="11"/>
        <v>5425.71</v>
      </c>
      <c r="G30" s="27">
        <f t="shared" si="11"/>
        <v>871949</v>
      </c>
      <c r="H30" s="27">
        <f t="shared" si="11"/>
        <v>1373.15</v>
      </c>
      <c r="I30" s="27">
        <f t="shared" si="11"/>
        <v>1373.15</v>
      </c>
      <c r="J30" s="27">
        <f t="shared" si="11"/>
        <v>0</v>
      </c>
      <c r="K30" s="27">
        <f t="shared" si="11"/>
        <v>1373.15</v>
      </c>
    </row>
    <row r="31" s="1" customFormat="1" ht="26.25" customHeight="1" spans="1:82">
      <c r="A31" s="25" t="s">
        <v>379</v>
      </c>
      <c r="B31" s="26" t="s">
        <v>375</v>
      </c>
      <c r="C31" s="27">
        <f t="shared" ref="C31:K31" si="12">C40</f>
        <v>1800</v>
      </c>
      <c r="D31" s="27">
        <f t="shared" si="12"/>
        <v>0</v>
      </c>
      <c r="E31" s="27">
        <f t="shared" si="12"/>
        <v>0</v>
      </c>
      <c r="F31" s="27">
        <f t="shared" si="12"/>
        <v>0</v>
      </c>
      <c r="G31" s="27">
        <f t="shared" si="12"/>
        <v>1800</v>
      </c>
      <c r="H31" s="27">
        <f t="shared" si="12"/>
        <v>2.83</v>
      </c>
      <c r="I31" s="27">
        <f t="shared" si="12"/>
        <v>2.83</v>
      </c>
      <c r="J31" s="27">
        <f t="shared" si="12"/>
        <v>0</v>
      </c>
      <c r="K31" s="27">
        <f t="shared" si="12"/>
        <v>2.83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="1" customFormat="1" ht="27" customHeight="1" spans="1:82">
      <c r="A32" s="45" t="s">
        <v>230</v>
      </c>
      <c r="B32" s="39"/>
      <c r="C32" s="40">
        <f>SUM(C29:C31)</f>
        <v>18713299.04</v>
      </c>
      <c r="D32" s="40">
        <f>SUM(D29:D31)</f>
        <v>14952299.04</v>
      </c>
      <c r="E32" s="40">
        <f t="shared" ref="E32:K32" si="13">SUM(E29:E31)</f>
        <v>23546.92</v>
      </c>
      <c r="F32" s="40">
        <f t="shared" si="13"/>
        <v>23546.93</v>
      </c>
      <c r="G32" s="40">
        <f t="shared" si="13"/>
        <v>3761000</v>
      </c>
      <c r="H32" s="40">
        <f t="shared" si="13"/>
        <v>5922.83</v>
      </c>
      <c r="I32" s="40">
        <f t="shared" si="13"/>
        <v>5922.83</v>
      </c>
      <c r="J32" s="40">
        <f t="shared" si="13"/>
        <v>0</v>
      </c>
      <c r="K32" s="40">
        <f t="shared" si="13"/>
        <v>5922.83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="1" customFormat="1" ht="47.25" customHeight="1" spans="1:82">
      <c r="A33" s="44" t="s">
        <v>386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="1" customFormat="1" ht="48" customHeight="1" spans="1:82">
      <c r="A34" s="25" t="s">
        <v>384</v>
      </c>
      <c r="B34" s="26" t="s">
        <v>375</v>
      </c>
      <c r="C34" s="46">
        <f>'прил.1+2'!G64</f>
        <v>11506971.73</v>
      </c>
      <c r="D34" s="46">
        <f>'прил.1+2'!G64</f>
        <v>11506971.73</v>
      </c>
      <c r="E34" s="46">
        <f>ROUND('проверка 2020'!N15/E5,2)</f>
        <v>18121.21</v>
      </c>
      <c r="F34" s="35">
        <f>ROUND('проверка 2020'!P15/F5,2)</f>
        <v>18121.22</v>
      </c>
      <c r="G34" s="35"/>
      <c r="H34" s="35">
        <f t="shared" ref="H34:K35" si="14">IF(H$5&lt;=0,0,IF($G34=0,0,ROUND($G34/($H$5+$I$5+$J$5+$K$5),2)))</f>
        <v>0</v>
      </c>
      <c r="I34" s="35">
        <f t="shared" si="14"/>
        <v>0</v>
      </c>
      <c r="J34" s="35">
        <f t="shared" si="14"/>
        <v>0</v>
      </c>
      <c r="K34" s="35">
        <f t="shared" si="14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="1" customFormat="1" ht="45" spans="1:82">
      <c r="A35" s="25" t="s">
        <v>385</v>
      </c>
      <c r="B35" s="26" t="s">
        <v>375</v>
      </c>
      <c r="C35" s="46">
        <f>'прил.1+2'!H64+'прил.1+2'!E69+'прил.1+2'!E70</f>
        <v>3445327.31</v>
      </c>
      <c r="D35" s="46">
        <f>'прил.1+2'!H64+'прил.1+2'!E69+'прил.1+2'!E70</f>
        <v>3445327.31</v>
      </c>
      <c r="E35" s="46">
        <f>ROUND('проверка 2020'!N16/E5,2)</f>
        <v>5425.71</v>
      </c>
      <c r="F35" s="35">
        <f>ROUND('проверка 2020'!P16/F5,2)</f>
        <v>5425.71</v>
      </c>
      <c r="G35" s="35"/>
      <c r="H35" s="35">
        <f t="shared" si="14"/>
        <v>0</v>
      </c>
      <c r="I35" s="35">
        <f t="shared" si="14"/>
        <v>0</v>
      </c>
      <c r="J35" s="35">
        <f t="shared" si="14"/>
        <v>0</v>
      </c>
      <c r="K35" s="35">
        <f t="shared" si="14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11">
      <c r="A36" s="45" t="s">
        <v>230</v>
      </c>
      <c r="B36" s="39"/>
      <c r="C36" s="47">
        <f>SUM(C34:C35)</f>
        <v>14952299.04</v>
      </c>
      <c r="D36" s="47">
        <f>SUM(D34:D35)</f>
        <v>14952299.04</v>
      </c>
      <c r="E36" s="47">
        <f t="shared" ref="E36:K36" si="15">SUM(E34:E35)</f>
        <v>23546.92</v>
      </c>
      <c r="F36" s="47">
        <f t="shared" si="15"/>
        <v>23546.93</v>
      </c>
      <c r="G36" s="47">
        <f t="shared" si="15"/>
        <v>0</v>
      </c>
      <c r="H36" s="47">
        <f t="shared" si="15"/>
        <v>0</v>
      </c>
      <c r="I36" s="47">
        <f t="shared" si="15"/>
        <v>0</v>
      </c>
      <c r="J36" s="47">
        <f t="shared" si="15"/>
        <v>0</v>
      </c>
      <c r="K36" s="47">
        <f t="shared" si="15"/>
        <v>0</v>
      </c>
    </row>
    <row r="37" ht="51" customHeight="1" spans="1:11">
      <c r="A37" s="44" t="s">
        <v>387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ht="37.5" customHeight="1" spans="1:11">
      <c r="A38" s="25" t="s">
        <v>384</v>
      </c>
      <c r="B38" s="26" t="s">
        <v>375</v>
      </c>
      <c r="C38" s="27">
        <f>'прил.1+2'!G82</f>
        <v>2887251</v>
      </c>
      <c r="D38" s="27"/>
      <c r="E38" s="27"/>
      <c r="F38" s="35"/>
      <c r="G38" s="35">
        <f>'прил.1+2'!G82</f>
        <v>2887251</v>
      </c>
      <c r="H38" s="35">
        <f t="shared" ref="H38:K40" si="16">IF(H$5&lt;=0,0,IF($G38=0,0,ROUND($G38/($H$5+$I$5+$J$5+$K$5),2)))</f>
        <v>4546.85</v>
      </c>
      <c r="I38" s="35">
        <f t="shared" si="16"/>
        <v>4546.85</v>
      </c>
      <c r="J38" s="35">
        <f t="shared" si="16"/>
        <v>0</v>
      </c>
      <c r="K38" s="35">
        <f t="shared" si="16"/>
        <v>4546.85</v>
      </c>
    </row>
    <row r="39" ht="36.75" customHeight="1" spans="1:11">
      <c r="A39" s="25" t="s">
        <v>384</v>
      </c>
      <c r="B39" s="26" t="s">
        <v>375</v>
      </c>
      <c r="C39" s="27">
        <f>'прил.1+2'!H82+'прил.1+2'!E87+'прил.1+2'!E88</f>
        <v>871949</v>
      </c>
      <c r="D39" s="27"/>
      <c r="E39" s="27"/>
      <c r="F39" s="35"/>
      <c r="G39" s="35">
        <f>'прил.1+2'!H82+'прил.1+2'!E87+'прил.1+2'!E88</f>
        <v>871949</v>
      </c>
      <c r="H39" s="35">
        <f t="shared" si="16"/>
        <v>1373.15</v>
      </c>
      <c r="I39" s="35">
        <f t="shared" si="16"/>
        <v>1373.15</v>
      </c>
      <c r="J39" s="35">
        <f t="shared" si="16"/>
        <v>0</v>
      </c>
      <c r="K39" s="35">
        <f t="shared" si="16"/>
        <v>1373.15</v>
      </c>
    </row>
    <row r="40" ht="22.5" spans="1:11">
      <c r="A40" s="25" t="s">
        <v>379</v>
      </c>
      <c r="B40" s="26" t="s">
        <v>375</v>
      </c>
      <c r="C40" s="27">
        <f>'прил.1+2'!E93</f>
        <v>1800</v>
      </c>
      <c r="D40" s="27"/>
      <c r="E40" s="27"/>
      <c r="F40" s="35"/>
      <c r="G40" s="35">
        <f>'прил.1+2'!E93</f>
        <v>1800</v>
      </c>
      <c r="H40" s="35">
        <f t="shared" si="16"/>
        <v>2.83</v>
      </c>
      <c r="I40" s="35">
        <f t="shared" si="16"/>
        <v>2.83</v>
      </c>
      <c r="J40" s="35">
        <f t="shared" si="16"/>
        <v>0</v>
      </c>
      <c r="K40" s="35">
        <f t="shared" si="16"/>
        <v>2.83</v>
      </c>
    </row>
    <row r="41" spans="1:11">
      <c r="A41" s="45" t="s">
        <v>230</v>
      </c>
      <c r="B41" s="39"/>
      <c r="C41" s="40">
        <f>SUM(C38:C40)</f>
        <v>3761000</v>
      </c>
      <c r="D41" s="40">
        <f>SUM(D38:D40)</f>
        <v>0</v>
      </c>
      <c r="E41" s="40">
        <f t="shared" ref="E41:K41" si="17">SUM(E38:E40)</f>
        <v>0</v>
      </c>
      <c r="F41" s="40">
        <f t="shared" si="17"/>
        <v>0</v>
      </c>
      <c r="G41" s="40">
        <f t="shared" si="17"/>
        <v>3761000</v>
      </c>
      <c r="H41" s="40">
        <f t="shared" si="17"/>
        <v>5922.83</v>
      </c>
      <c r="I41" s="40">
        <f t="shared" si="17"/>
        <v>5922.83</v>
      </c>
      <c r="J41" s="40">
        <f t="shared" si="17"/>
        <v>0</v>
      </c>
      <c r="K41" s="40">
        <f t="shared" si="17"/>
        <v>5922.83</v>
      </c>
    </row>
    <row r="42" spans="1:11">
      <c r="A42" s="48"/>
      <c r="B42" s="42"/>
      <c r="C42" s="42"/>
      <c r="D42" s="42"/>
      <c r="E42" s="42"/>
      <c r="F42" s="43"/>
      <c r="G42" s="43"/>
      <c r="H42" s="43"/>
      <c r="I42" s="43"/>
      <c r="J42" s="43"/>
      <c r="K42" s="43"/>
    </row>
    <row r="43" ht="25.5" customHeight="1" spans="1:11">
      <c r="A43" s="49" t="s">
        <v>388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>
      <c r="A44" s="50" t="str">
        <f>прил.3!B6</f>
        <v>вывоз мусора</v>
      </c>
      <c r="B44" s="26" t="s">
        <v>375</v>
      </c>
      <c r="C44" s="27">
        <f>прил.3!G6</f>
        <v>237348</v>
      </c>
      <c r="D44" s="27"/>
      <c r="E44" s="27"/>
      <c r="F44" s="35"/>
      <c r="G44" s="35">
        <f>прил.3!G6</f>
        <v>237348</v>
      </c>
      <c r="H44" s="35">
        <f t="shared" ref="H44:K67" si="18">IF(H$5&lt;=0,0,IF($G44=0,0,ROUND($G44/($H$5+$I$5+$J$5+$K$5),2)))</f>
        <v>373.78</v>
      </c>
      <c r="I44" s="35">
        <f t="shared" si="18"/>
        <v>373.78</v>
      </c>
      <c r="J44" s="35">
        <f t="shared" si="18"/>
        <v>0</v>
      </c>
      <c r="K44" s="35">
        <f t="shared" si="18"/>
        <v>373.78</v>
      </c>
    </row>
    <row r="45" spans="1:11">
      <c r="A45" s="51" t="str">
        <f>прил.3!B7</f>
        <v>дератизация</v>
      </c>
      <c r="B45" s="26" t="s">
        <v>375</v>
      </c>
      <c r="C45" s="27">
        <f>прил.3!G7</f>
        <v>12545</v>
      </c>
      <c r="D45" s="27"/>
      <c r="E45" s="27"/>
      <c r="F45" s="35"/>
      <c r="G45" s="35">
        <f>прил.3!G7</f>
        <v>12545</v>
      </c>
      <c r="H45" s="35">
        <f t="shared" si="18"/>
        <v>19.76</v>
      </c>
      <c r="I45" s="35">
        <f t="shared" si="18"/>
        <v>19.76</v>
      </c>
      <c r="J45" s="35">
        <f t="shared" si="18"/>
        <v>0</v>
      </c>
      <c r="K45" s="35">
        <f t="shared" si="18"/>
        <v>19.76</v>
      </c>
    </row>
    <row r="46" ht="25.5" spans="1:11">
      <c r="A46" s="51" t="str">
        <f>прил.3!B8</f>
        <v>тех.обслуживание кнопки тревожной сигнализации</v>
      </c>
      <c r="B46" s="26" t="s">
        <v>375</v>
      </c>
      <c r="C46" s="27">
        <f>прил.3!G8</f>
        <v>9403.2</v>
      </c>
      <c r="D46" s="27"/>
      <c r="E46" s="27"/>
      <c r="F46" s="35"/>
      <c r="G46" s="35">
        <f>прил.3!G8</f>
        <v>9403.2</v>
      </c>
      <c r="H46" s="35">
        <f t="shared" si="18"/>
        <v>14.81</v>
      </c>
      <c r="I46" s="35">
        <f t="shared" si="18"/>
        <v>14.81</v>
      </c>
      <c r="J46" s="35">
        <f t="shared" si="18"/>
        <v>0</v>
      </c>
      <c r="K46" s="35">
        <f t="shared" si="18"/>
        <v>14.81</v>
      </c>
    </row>
    <row r="47" spans="1:11">
      <c r="A47" s="51" t="str">
        <f>прил.3!B9</f>
        <v>АПС</v>
      </c>
      <c r="B47" s="26" t="s">
        <v>375</v>
      </c>
      <c r="C47" s="27">
        <f>прил.3!G9+прил.3!G10</f>
        <v>42576</v>
      </c>
      <c r="D47" s="27"/>
      <c r="E47" s="27"/>
      <c r="F47" s="35"/>
      <c r="G47" s="35">
        <f>прил.3!G9+прил.3!G10</f>
        <v>42576</v>
      </c>
      <c r="H47" s="35">
        <f t="shared" si="18"/>
        <v>67.05</v>
      </c>
      <c r="I47" s="35">
        <f t="shared" si="18"/>
        <v>67.05</v>
      </c>
      <c r="J47" s="35">
        <f t="shared" si="18"/>
        <v>0</v>
      </c>
      <c r="K47" s="35">
        <f t="shared" si="18"/>
        <v>67.05</v>
      </c>
    </row>
    <row r="48" spans="1:11">
      <c r="A48" s="51" t="str">
        <f>прил.3!B11</f>
        <v>тех.обслуживание домофона</v>
      </c>
      <c r="B48" s="26" t="s">
        <v>375</v>
      </c>
      <c r="C48" s="27">
        <f>прил.3!G11</f>
        <v>19200</v>
      </c>
      <c r="D48" s="27"/>
      <c r="E48" s="27"/>
      <c r="F48" s="35"/>
      <c r="G48" s="35">
        <f>прил.3!G11</f>
        <v>19200</v>
      </c>
      <c r="H48" s="35">
        <f t="shared" si="18"/>
        <v>30.24</v>
      </c>
      <c r="I48" s="35">
        <f t="shared" si="18"/>
        <v>30.24</v>
      </c>
      <c r="J48" s="35">
        <f t="shared" si="18"/>
        <v>0</v>
      </c>
      <c r="K48" s="35">
        <f t="shared" si="18"/>
        <v>30.24</v>
      </c>
    </row>
    <row r="49" spans="1:11">
      <c r="A49" s="51" t="str">
        <f>прил.3!B12</f>
        <v>Кап.ремонт</v>
      </c>
      <c r="B49" s="26" t="s">
        <v>375</v>
      </c>
      <c r="C49" s="27">
        <f>прил.3!G12</f>
        <v>44505</v>
      </c>
      <c r="D49" s="27"/>
      <c r="E49" s="27"/>
      <c r="F49" s="35"/>
      <c r="G49" s="35">
        <f>прил.3!G12</f>
        <v>44505</v>
      </c>
      <c r="H49" s="35">
        <f t="shared" si="18"/>
        <v>70.09</v>
      </c>
      <c r="I49" s="35">
        <f t="shared" si="18"/>
        <v>70.09</v>
      </c>
      <c r="J49" s="35">
        <f t="shared" si="18"/>
        <v>0</v>
      </c>
      <c r="K49" s="35">
        <f t="shared" si="18"/>
        <v>70.09</v>
      </c>
    </row>
    <row r="50" spans="1:11">
      <c r="A50" s="51" t="str">
        <f>прил.3!B13</f>
        <v>ТО электро сетей, электроустоновок</v>
      </c>
      <c r="B50" s="26" t="s">
        <v>375</v>
      </c>
      <c r="C50" s="27">
        <f>прил.3!G13</f>
        <v>24000</v>
      </c>
      <c r="D50" s="27"/>
      <c r="E50" s="27"/>
      <c r="F50" s="35"/>
      <c r="G50" s="35">
        <f>прил.3!G13</f>
        <v>24000</v>
      </c>
      <c r="H50" s="35">
        <f t="shared" si="18"/>
        <v>37.8</v>
      </c>
      <c r="I50" s="35">
        <f t="shared" si="18"/>
        <v>37.8</v>
      </c>
      <c r="J50" s="35">
        <f t="shared" si="18"/>
        <v>0</v>
      </c>
      <c r="K50" s="35">
        <f t="shared" si="18"/>
        <v>37.8</v>
      </c>
    </row>
    <row r="51" ht="15" customHeight="1" spans="1:11">
      <c r="A51" s="51" t="str">
        <f>прил.3!B14</f>
        <v>тех.обслуживание радиомодема</v>
      </c>
      <c r="B51" s="26" t="s">
        <v>375</v>
      </c>
      <c r="C51" s="27">
        <f>прил.3!G14+прил.3!G15</f>
        <v>38400</v>
      </c>
      <c r="D51" s="27"/>
      <c r="E51" s="27"/>
      <c r="F51" s="35"/>
      <c r="G51" s="35">
        <f>прил.3!G14+прил.3!G15</f>
        <v>38400</v>
      </c>
      <c r="H51" s="35">
        <f t="shared" si="18"/>
        <v>60.47</v>
      </c>
      <c r="I51" s="35">
        <f t="shared" si="18"/>
        <v>60.47</v>
      </c>
      <c r="J51" s="35">
        <f t="shared" si="18"/>
        <v>0</v>
      </c>
      <c r="K51" s="35">
        <f t="shared" si="18"/>
        <v>60.47</v>
      </c>
    </row>
    <row r="52" ht="24.75" customHeight="1" spans="1:11">
      <c r="A52" s="51" t="str">
        <f>прил.3!B16</f>
        <v>тех.обслуживание теплосчетчиков</v>
      </c>
      <c r="B52" s="52" t="s">
        <v>375</v>
      </c>
      <c r="C52" s="27">
        <f>прил.3!G16</f>
        <v>38526.24</v>
      </c>
      <c r="D52" s="27"/>
      <c r="E52" s="27"/>
      <c r="F52" s="35"/>
      <c r="G52" s="35">
        <f>прил.3!G16</f>
        <v>38526.24</v>
      </c>
      <c r="H52" s="35">
        <f t="shared" si="18"/>
        <v>60.67</v>
      </c>
      <c r="I52" s="35">
        <f t="shared" si="18"/>
        <v>60.67</v>
      </c>
      <c r="J52" s="35">
        <f t="shared" si="18"/>
        <v>0</v>
      </c>
      <c r="K52" s="35">
        <f t="shared" si="18"/>
        <v>60.67</v>
      </c>
    </row>
    <row r="53" spans="1:11">
      <c r="A53" s="51" t="str">
        <f>прил.3!B17</f>
        <v>Поверка теплосчетчиков ХВС,ГВС</v>
      </c>
      <c r="B53" s="26" t="s">
        <v>375</v>
      </c>
      <c r="C53" s="27">
        <f>прил.3!G17</f>
        <v>15500</v>
      </c>
      <c r="D53" s="27"/>
      <c r="E53" s="27"/>
      <c r="F53" s="35"/>
      <c r="G53" s="35">
        <f>прил.3!G17</f>
        <v>15500</v>
      </c>
      <c r="H53" s="35">
        <f t="shared" si="18"/>
        <v>24.41</v>
      </c>
      <c r="I53" s="35">
        <f t="shared" si="18"/>
        <v>24.41</v>
      </c>
      <c r="J53" s="35">
        <f t="shared" si="18"/>
        <v>0</v>
      </c>
      <c r="K53" s="35">
        <f t="shared" si="18"/>
        <v>24.41</v>
      </c>
    </row>
    <row r="54" hidden="1" spans="1:11">
      <c r="A54" s="51" t="str">
        <f>прил.3!B19</f>
        <v>Т/о видеонаблюдение</v>
      </c>
      <c r="B54" s="26" t="s">
        <v>375</v>
      </c>
      <c r="C54" s="27">
        <f>прил.3!G19</f>
        <v>0</v>
      </c>
      <c r="D54" s="27"/>
      <c r="E54" s="27"/>
      <c r="F54" s="35"/>
      <c r="G54" s="35">
        <f>прил.3!G19</f>
        <v>0</v>
      </c>
      <c r="H54" s="35">
        <f t="shared" si="18"/>
        <v>0</v>
      </c>
      <c r="I54" s="35">
        <f t="shared" si="18"/>
        <v>0</v>
      </c>
      <c r="J54" s="35">
        <f t="shared" si="18"/>
        <v>0</v>
      </c>
      <c r="K54" s="35">
        <f t="shared" si="18"/>
        <v>0</v>
      </c>
    </row>
    <row r="55" spans="1:11">
      <c r="A55" s="51" t="str">
        <f>прил.3!B20</f>
        <v>замер сопротивления</v>
      </c>
      <c r="B55" s="26" t="s">
        <v>375</v>
      </c>
      <c r="C55" s="27">
        <f>прил.3!G20</f>
        <v>8800</v>
      </c>
      <c r="D55" s="27"/>
      <c r="E55" s="27"/>
      <c r="F55" s="35"/>
      <c r="G55" s="35">
        <f>прил.3!G20</f>
        <v>8800</v>
      </c>
      <c r="H55" s="35">
        <f t="shared" si="18"/>
        <v>13.86</v>
      </c>
      <c r="I55" s="35">
        <f t="shared" si="18"/>
        <v>13.86</v>
      </c>
      <c r="J55" s="35">
        <f t="shared" si="18"/>
        <v>0</v>
      </c>
      <c r="K55" s="35">
        <f t="shared" si="18"/>
        <v>13.86</v>
      </c>
    </row>
    <row r="56" ht="25.5" spans="1:11">
      <c r="A56" s="51" t="str">
        <f>прил.3!B21</f>
        <v>содержание и ремонт общедомового имущества</v>
      </c>
      <c r="B56" s="26" t="s">
        <v>375</v>
      </c>
      <c r="C56" s="27">
        <f>прил.3!G21</f>
        <v>105543.12</v>
      </c>
      <c r="D56" s="27"/>
      <c r="E56" s="27"/>
      <c r="F56" s="35"/>
      <c r="G56" s="35">
        <f>прил.3!G21</f>
        <v>105543.12</v>
      </c>
      <c r="H56" s="35">
        <f t="shared" si="18"/>
        <v>166.21</v>
      </c>
      <c r="I56" s="35">
        <f t="shared" si="18"/>
        <v>166.21</v>
      </c>
      <c r="J56" s="35">
        <f t="shared" si="18"/>
        <v>0</v>
      </c>
      <c r="K56" s="35">
        <f t="shared" si="18"/>
        <v>166.21</v>
      </c>
    </row>
    <row r="57" spans="1:11">
      <c r="A57" s="51" t="str">
        <f>прил.3!B22</f>
        <v>Промывка, опрессовка</v>
      </c>
      <c r="B57" s="26" t="s">
        <v>375</v>
      </c>
      <c r="C57" s="27">
        <f>прил.3!G22</f>
        <v>26000</v>
      </c>
      <c r="D57" s="27"/>
      <c r="E57" s="27"/>
      <c r="F57" s="35"/>
      <c r="G57" s="35">
        <f>прил.3!G22</f>
        <v>26000</v>
      </c>
      <c r="H57" s="35">
        <f t="shared" si="18"/>
        <v>40.94</v>
      </c>
      <c r="I57" s="35">
        <f t="shared" si="18"/>
        <v>40.94</v>
      </c>
      <c r="J57" s="35">
        <f t="shared" si="18"/>
        <v>0</v>
      </c>
      <c r="K57" s="35">
        <f t="shared" si="18"/>
        <v>40.94</v>
      </c>
    </row>
    <row r="58" spans="1:11">
      <c r="A58" s="51" t="str">
        <f>прил.3!B23</f>
        <v>Лабораторные исследования</v>
      </c>
      <c r="B58" s="26" t="s">
        <v>375</v>
      </c>
      <c r="C58" s="27">
        <f>прил.3!G23</f>
        <v>13897.44</v>
      </c>
      <c r="D58" s="27"/>
      <c r="E58" s="27"/>
      <c r="F58" s="35"/>
      <c r="G58" s="35">
        <f>прил.3!G23</f>
        <v>13897.44</v>
      </c>
      <c r="H58" s="35">
        <f t="shared" si="18"/>
        <v>21.89</v>
      </c>
      <c r="I58" s="35">
        <f t="shared" si="18"/>
        <v>21.89</v>
      </c>
      <c r="J58" s="35">
        <f t="shared" si="18"/>
        <v>0</v>
      </c>
      <c r="K58" s="35">
        <f t="shared" si="18"/>
        <v>21.89</v>
      </c>
    </row>
    <row r="59" s="1" customFormat="1" hidden="1" spans="1:82">
      <c r="A59" s="51" t="str">
        <f>прил.3!B24</f>
        <v>Очистка кровли</v>
      </c>
      <c r="B59" s="26" t="s">
        <v>375</v>
      </c>
      <c r="C59" s="27">
        <v>0</v>
      </c>
      <c r="D59" s="27"/>
      <c r="E59" s="27"/>
      <c r="F59" s="35"/>
      <c r="G59" s="35">
        <f>прил.3!G24</f>
        <v>0</v>
      </c>
      <c r="H59" s="35">
        <f t="shared" si="18"/>
        <v>0</v>
      </c>
      <c r="I59" s="35">
        <f t="shared" si="18"/>
        <v>0</v>
      </c>
      <c r="J59" s="35">
        <f t="shared" si="18"/>
        <v>0</v>
      </c>
      <c r="K59" s="35">
        <f t="shared" si="18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</row>
    <row r="60" hidden="1" spans="1:11">
      <c r="A60" s="51" t="str">
        <f>прил.3!B25</f>
        <v>Заправка и ремонт картриджей</v>
      </c>
      <c r="B60" s="26" t="s">
        <v>375</v>
      </c>
      <c r="C60" s="27">
        <f>прил.3!G25</f>
        <v>0</v>
      </c>
      <c r="D60" s="27"/>
      <c r="E60" s="27"/>
      <c r="F60" s="35"/>
      <c r="G60" s="35">
        <f>прил.3!G25</f>
        <v>0</v>
      </c>
      <c r="H60" s="35">
        <f t="shared" si="18"/>
        <v>0</v>
      </c>
      <c r="I60" s="35">
        <f t="shared" si="18"/>
        <v>0</v>
      </c>
      <c r="J60" s="35">
        <f t="shared" si="18"/>
        <v>0</v>
      </c>
      <c r="K60" s="35">
        <f t="shared" si="18"/>
        <v>0</v>
      </c>
    </row>
    <row r="61" ht="25.5" hidden="1" spans="1:11">
      <c r="A61" s="51" t="s">
        <v>294</v>
      </c>
      <c r="B61" s="26" t="s">
        <v>375</v>
      </c>
      <c r="C61" s="27">
        <f>прил.3!G49</f>
        <v>0</v>
      </c>
      <c r="D61" s="27"/>
      <c r="E61" s="27"/>
      <c r="F61" s="35"/>
      <c r="G61" s="35">
        <f>прил.3!G49</f>
        <v>0</v>
      </c>
      <c r="H61" s="35">
        <f>IF(H$5&lt;=0,0,IF($G61=0,0,ROUND($G61/($H$5+$I$5+$J$5+$K$5),2)))</f>
        <v>0</v>
      </c>
      <c r="I61" s="35">
        <f t="shared" si="18"/>
        <v>0</v>
      </c>
      <c r="J61" s="35">
        <f t="shared" si="18"/>
        <v>0</v>
      </c>
      <c r="K61" s="35">
        <f t="shared" si="18"/>
        <v>0</v>
      </c>
    </row>
    <row r="62" spans="1:11">
      <c r="A62" s="53" t="s">
        <v>285</v>
      </c>
      <c r="B62" s="26" t="s">
        <v>375</v>
      </c>
      <c r="C62" s="27">
        <f>прил.3!G30+прил.3!G31+прил.3!G32</f>
        <v>8360</v>
      </c>
      <c r="D62" s="27"/>
      <c r="E62" s="27"/>
      <c r="F62" s="35"/>
      <c r="G62" s="35">
        <f>прил.3!G30+прил.3!G31+прил.3!G32</f>
        <v>8360</v>
      </c>
      <c r="H62" s="35">
        <f t="shared" ref="H62:K63" si="19">IF(H$5&lt;=0,0,IF($G62=0,0,ROUND($G62/($H$5+$I$5+$J$5+$K$5),2)))</f>
        <v>13.17</v>
      </c>
      <c r="I62" s="35">
        <f t="shared" si="19"/>
        <v>13.17</v>
      </c>
      <c r="J62" s="35">
        <f t="shared" si="19"/>
        <v>0</v>
      </c>
      <c r="K62" s="35">
        <f t="shared" si="19"/>
        <v>13.17</v>
      </c>
    </row>
    <row r="63" hidden="1" spans="1:11">
      <c r="A63" s="53" t="s">
        <v>286</v>
      </c>
      <c r="B63" s="26" t="s">
        <v>375</v>
      </c>
      <c r="C63" s="27">
        <f>прил.3!G33+прил.3!G34+прил.3!G35+прил.3!G36</f>
        <v>0</v>
      </c>
      <c r="D63" s="27"/>
      <c r="E63" s="27"/>
      <c r="F63" s="35"/>
      <c r="G63" s="35">
        <f>прил.3!G33+прил.3!G34+прил.3!G35+прил.3!G36</f>
        <v>0</v>
      </c>
      <c r="H63" s="35">
        <f t="shared" si="19"/>
        <v>0</v>
      </c>
      <c r="I63" s="35">
        <f t="shared" si="19"/>
        <v>0</v>
      </c>
      <c r="J63" s="35">
        <f t="shared" si="19"/>
        <v>0</v>
      </c>
      <c r="K63" s="35">
        <f t="shared" si="19"/>
        <v>0</v>
      </c>
    </row>
    <row r="64" hidden="1" customHeight="1" spans="1:11">
      <c r="A64" s="51" t="str">
        <f>прил.3!B29</f>
        <v>Лабораторные исследования</v>
      </c>
      <c r="B64" s="26" t="s">
        <v>375</v>
      </c>
      <c r="C64" s="27">
        <f>прил.3!G29</f>
        <v>0</v>
      </c>
      <c r="D64" s="27"/>
      <c r="E64" s="27"/>
      <c r="F64" s="35"/>
      <c r="G64" s="35">
        <f>прил.3!G29</f>
        <v>0</v>
      </c>
      <c r="H64" s="35">
        <f t="shared" ref="H64:H65" si="20">IF(H$5&lt;=0,0,IF($G64=0,0,ROUND($G64/($H$5+$I$5+$J$5+$K$5),2)))</f>
        <v>0</v>
      </c>
      <c r="I64" s="35">
        <f t="shared" si="18"/>
        <v>0</v>
      </c>
      <c r="J64" s="35">
        <f t="shared" si="18"/>
        <v>0</v>
      </c>
      <c r="K64" s="35">
        <f t="shared" si="18"/>
        <v>0</v>
      </c>
    </row>
    <row r="65" customHeight="1" spans="1:11">
      <c r="A65" s="51" t="str">
        <f>прил.3!B27</f>
        <v>Тревожная кнопка</v>
      </c>
      <c r="B65" s="26" t="s">
        <v>375</v>
      </c>
      <c r="C65" s="27">
        <f>прил.3!G27</f>
        <v>38369</v>
      </c>
      <c r="D65" s="27"/>
      <c r="E65" s="27"/>
      <c r="F65" s="35"/>
      <c r="G65" s="35">
        <f>прил.3!G27</f>
        <v>38369</v>
      </c>
      <c r="H65" s="35">
        <f t="shared" si="20"/>
        <v>60.42</v>
      </c>
      <c r="I65" s="35">
        <f t="shared" si="18"/>
        <v>60.42</v>
      </c>
      <c r="J65" s="35">
        <f t="shared" si="18"/>
        <v>0</v>
      </c>
      <c r="K65" s="35">
        <f t="shared" si="18"/>
        <v>60.42</v>
      </c>
    </row>
    <row r="66" customHeight="1" spans="1:11">
      <c r="A66" s="51" t="str">
        <f>прил.3!B28</f>
        <v>Утилизация отходов (ртутосодержащие лампы)</v>
      </c>
      <c r="B66" s="26" t="s">
        <v>375</v>
      </c>
      <c r="C66" s="27">
        <f>прил.3!G28</f>
        <v>1200</v>
      </c>
      <c r="D66" s="27"/>
      <c r="E66" s="27"/>
      <c r="F66" s="35"/>
      <c r="G66" s="35">
        <f>прил.3!G28</f>
        <v>1200</v>
      </c>
      <c r="H66" s="35">
        <f t="shared" si="18"/>
        <v>1.89</v>
      </c>
      <c r="I66" s="35">
        <f t="shared" si="18"/>
        <v>1.89</v>
      </c>
      <c r="J66" s="35">
        <f t="shared" si="18"/>
        <v>0</v>
      </c>
      <c r="K66" s="35">
        <f t="shared" si="18"/>
        <v>1.89</v>
      </c>
    </row>
    <row r="67" customHeight="1" spans="1:11">
      <c r="A67" s="51" t="str">
        <f>прил.3!B37</f>
        <v>Противопожарные мероприятия:</v>
      </c>
      <c r="B67" s="26" t="s">
        <v>375</v>
      </c>
      <c r="C67" s="27">
        <f>прил.3!G38+прил.3!G39+прил.3!G40+прил.3!G41</f>
        <v>23600</v>
      </c>
      <c r="D67" s="27"/>
      <c r="E67" s="27"/>
      <c r="F67" s="35"/>
      <c r="G67" s="35">
        <f>прил.3!G38+прил.3!G39+прил.3!G40+прил.3!G41</f>
        <v>23600</v>
      </c>
      <c r="H67" s="35">
        <f t="shared" si="18"/>
        <v>37.17</v>
      </c>
      <c r="I67" s="35">
        <f t="shared" si="18"/>
        <v>37.17</v>
      </c>
      <c r="J67" s="35">
        <f t="shared" si="18"/>
        <v>0</v>
      </c>
      <c r="K67" s="35">
        <f t="shared" si="18"/>
        <v>37.17</v>
      </c>
    </row>
    <row r="68" hidden="1" customHeight="1" spans="1:11">
      <c r="A68" s="50"/>
      <c r="B68" s="26" t="s">
        <v>375</v>
      </c>
      <c r="C68" s="27"/>
      <c r="D68" s="27"/>
      <c r="E68" s="27" t="e">
        <f>ROUND(F68/#REF!,2)</f>
        <v>#REF!</v>
      </c>
      <c r="F68" s="35"/>
      <c r="G68" s="35"/>
      <c r="H68" s="35"/>
      <c r="I68" s="35"/>
      <c r="J68" s="35"/>
      <c r="K68" s="35"/>
    </row>
    <row r="69" hidden="1" customHeight="1" spans="1:11">
      <c r="A69" s="50"/>
      <c r="B69" s="26" t="s">
        <v>375</v>
      </c>
      <c r="C69" s="27">
        <f>прил.3!G42</f>
        <v>0</v>
      </c>
      <c r="D69" s="27"/>
      <c r="E69" s="27" t="e">
        <f>ROUND(F69/#REF!,2)</f>
        <v>#REF!</v>
      </c>
      <c r="F69" s="35"/>
      <c r="G69" s="35"/>
      <c r="H69" s="35"/>
      <c r="I69" s="35"/>
      <c r="J69" s="35"/>
      <c r="K69" s="35"/>
    </row>
    <row r="70" hidden="1" customHeight="1" spans="1:11">
      <c r="A70" s="50"/>
      <c r="B70" s="26" t="s">
        <v>375</v>
      </c>
      <c r="C70" s="27">
        <f>прил.3!G49</f>
        <v>0</v>
      </c>
      <c r="D70" s="27"/>
      <c r="E70" s="27" t="e">
        <f>ROUND(F70/#REF!,2)</f>
        <v>#REF!</v>
      </c>
      <c r="F70" s="35"/>
      <c r="G70" s="35"/>
      <c r="H70" s="35"/>
      <c r="I70" s="35"/>
      <c r="J70" s="35"/>
      <c r="K70" s="35"/>
    </row>
    <row r="71" hidden="1" customHeight="1" spans="1:11">
      <c r="A71" s="50"/>
      <c r="B71" s="26" t="s">
        <v>375</v>
      </c>
      <c r="C71" s="27">
        <f>прил.3!G50</f>
        <v>0</v>
      </c>
      <c r="D71" s="27"/>
      <c r="E71" s="27" t="e">
        <f>ROUND(F71/#REF!,2)</f>
        <v>#REF!</v>
      </c>
      <c r="F71" s="35"/>
      <c r="G71" s="35"/>
      <c r="H71" s="35"/>
      <c r="I71" s="35"/>
      <c r="J71" s="35"/>
      <c r="K71" s="35"/>
    </row>
    <row r="72" hidden="1" customHeight="1" spans="1:11">
      <c r="A72" s="50"/>
      <c r="B72" s="26" t="s">
        <v>375</v>
      </c>
      <c r="C72" s="27">
        <f>прил.3!G52</f>
        <v>0</v>
      </c>
      <c r="D72" s="27"/>
      <c r="E72" s="27" t="e">
        <f>ROUND(F72/#REF!,2)</f>
        <v>#REF!</v>
      </c>
      <c r="F72" s="35"/>
      <c r="G72" s="35"/>
      <c r="H72" s="35"/>
      <c r="I72" s="35"/>
      <c r="J72" s="35"/>
      <c r="K72" s="35"/>
    </row>
    <row r="73" customHeight="1" spans="1:11">
      <c r="A73" s="54" t="s">
        <v>230</v>
      </c>
      <c r="B73" s="54"/>
      <c r="C73" s="40">
        <f>SUM(C44:C67)</f>
        <v>707773</v>
      </c>
      <c r="D73" s="40">
        <f t="shared" ref="D73:K73" si="21">SUM(D44:D67)</f>
        <v>0</v>
      </c>
      <c r="E73" s="40">
        <f t="shared" si="21"/>
        <v>0</v>
      </c>
      <c r="F73" s="40">
        <f t="shared" si="21"/>
        <v>0</v>
      </c>
      <c r="G73" s="40">
        <f t="shared" si="21"/>
        <v>707773</v>
      </c>
      <c r="H73" s="40">
        <f t="shared" si="21"/>
        <v>1114.63</v>
      </c>
      <c r="I73" s="40">
        <f t="shared" si="21"/>
        <v>1114.63</v>
      </c>
      <c r="J73" s="40">
        <f t="shared" si="21"/>
        <v>0</v>
      </c>
      <c r="K73" s="40">
        <f t="shared" si="21"/>
        <v>1114.63</v>
      </c>
    </row>
    <row r="74" ht="24" customHeight="1" spans="1:11">
      <c r="A74" s="49" t="s">
        <v>389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ht="19.5" customHeight="1" spans="1:11">
      <c r="A75" s="27" t="s">
        <v>390</v>
      </c>
      <c r="B75" s="27" t="s">
        <v>375</v>
      </c>
      <c r="C75" s="27">
        <f>прил.3!G67</f>
        <v>71000</v>
      </c>
      <c r="D75" s="27"/>
      <c r="E75" s="27"/>
      <c r="F75" s="35"/>
      <c r="G75" s="35">
        <f>прил.3!G67</f>
        <v>71000</v>
      </c>
      <c r="H75" s="35">
        <f>IF(H$5&lt;=0,0,IF($G75=0,0,ROUND($G75/($H$5+$I$5+$J$5+$K$5),2)))</f>
        <v>111.81</v>
      </c>
      <c r="I75" s="35">
        <f>IF(I$5&lt;=0,0,IF($G75=0,0,ROUND($G75/($H$5+$I$5+$J$5+$K$5),2)))</f>
        <v>111.81</v>
      </c>
      <c r="J75" s="35">
        <f>IF(J$5&lt;=0,0,IF($G75=0,0,ROUND($G75/($H$5+$I$5+$J$5+$K$5),2)))</f>
        <v>0</v>
      </c>
      <c r="K75" s="35">
        <f>IF(K$5&lt;=0,0,IF($G75=0,0,ROUND($G75/($H$5+$I$5+$J$5+$K$5),2)))</f>
        <v>111.81</v>
      </c>
    </row>
    <row r="76" hidden="1" customHeight="1" spans="1:11">
      <c r="A76" s="27"/>
      <c r="B76" s="27"/>
      <c r="C76" s="27"/>
      <c r="D76" s="27"/>
      <c r="E76" s="27"/>
      <c r="F76" s="35"/>
      <c r="G76" s="35"/>
      <c r="H76" s="35"/>
      <c r="I76" s="35"/>
      <c r="J76" s="35"/>
      <c r="K76" s="35"/>
    </row>
    <row r="77" hidden="1" customHeight="1" spans="1:11">
      <c r="A77" s="27"/>
      <c r="B77" s="27"/>
      <c r="C77" s="27"/>
      <c r="D77" s="27"/>
      <c r="E77" s="27"/>
      <c r="F77" s="35"/>
      <c r="G77" s="35"/>
      <c r="H77" s="35"/>
      <c r="I77" s="35"/>
      <c r="J77" s="35"/>
      <c r="K77" s="35"/>
    </row>
    <row r="78" hidden="1" customHeight="1" spans="1:11">
      <c r="A78" s="27"/>
      <c r="B78" s="27"/>
      <c r="C78" s="27"/>
      <c r="D78" s="27"/>
      <c r="E78" s="27"/>
      <c r="F78" s="35"/>
      <c r="G78" s="35"/>
      <c r="H78" s="35"/>
      <c r="I78" s="35"/>
      <c r="J78" s="35"/>
      <c r="K78" s="35"/>
    </row>
    <row r="79" s="3" customFormat="1" spans="1:82">
      <c r="A79" s="40" t="s">
        <v>230</v>
      </c>
      <c r="B79" s="40"/>
      <c r="C79" s="40">
        <f>SUM(C75+C78)</f>
        <v>71000</v>
      </c>
      <c r="D79" s="40">
        <f>SUM(D75+D78)</f>
        <v>0</v>
      </c>
      <c r="E79" s="40">
        <f t="shared" ref="E79:K79" si="22">SUM(E75+E78)</f>
        <v>0</v>
      </c>
      <c r="F79" s="40">
        <f t="shared" si="22"/>
        <v>0</v>
      </c>
      <c r="G79" s="40">
        <f t="shared" si="22"/>
        <v>71000</v>
      </c>
      <c r="H79" s="40">
        <f t="shared" si="22"/>
        <v>111.81</v>
      </c>
      <c r="I79" s="40">
        <f t="shared" si="22"/>
        <v>111.81</v>
      </c>
      <c r="J79" s="40">
        <f t="shared" si="22"/>
        <v>0</v>
      </c>
      <c r="K79" s="40">
        <f t="shared" si="22"/>
        <v>111.81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</row>
    <row r="80" s="4" customFormat="1" ht="21" customHeight="1" spans="1:82">
      <c r="A80" s="49" t="s">
        <v>391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</row>
    <row r="81" s="4" customFormat="1" spans="1:82">
      <c r="A81" s="55" t="str">
        <f>прил.3!B75</f>
        <v>Затраты на хоз.нужды</v>
      </c>
      <c r="B81" s="26" t="s">
        <v>375</v>
      </c>
      <c r="C81" s="27">
        <f>прил.3!E83</f>
        <v>114300</v>
      </c>
      <c r="D81" s="27"/>
      <c r="E81" s="27"/>
      <c r="F81" s="35"/>
      <c r="G81" s="35">
        <f>прил.3!E83</f>
        <v>114300</v>
      </c>
      <c r="H81" s="35">
        <f t="shared" ref="H81:K93" si="23">IF(H$5&lt;=0,0,IF($G81=0,0,ROUND($G81/($H$5+$I$5+$J$5+$K$5),2)))</f>
        <v>180</v>
      </c>
      <c r="I81" s="35">
        <f t="shared" si="23"/>
        <v>180</v>
      </c>
      <c r="J81" s="35">
        <f t="shared" si="23"/>
        <v>0</v>
      </c>
      <c r="K81" s="35">
        <f t="shared" si="23"/>
        <v>180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</row>
    <row r="82" s="4" customFormat="1" spans="1:82">
      <c r="A82" s="55" t="str">
        <f>прил.3!B89</f>
        <v>Медосмотр всего:</v>
      </c>
      <c r="B82" s="26" t="s">
        <v>375</v>
      </c>
      <c r="C82" s="27">
        <f>прил.3!G89</f>
        <v>129290</v>
      </c>
      <c r="D82" s="27"/>
      <c r="E82" s="27"/>
      <c r="F82" s="35"/>
      <c r="G82" s="35">
        <f>прил.3!G89</f>
        <v>129290</v>
      </c>
      <c r="H82" s="35">
        <f t="shared" si="23"/>
        <v>203.61</v>
      </c>
      <c r="I82" s="35">
        <f t="shared" si="23"/>
        <v>203.61</v>
      </c>
      <c r="J82" s="35">
        <f t="shared" si="23"/>
        <v>0</v>
      </c>
      <c r="K82" s="35">
        <f t="shared" si="23"/>
        <v>203.61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</row>
    <row r="83" s="4" customFormat="1" spans="1:82">
      <c r="A83" s="55" t="str">
        <f>прил.3!B95</f>
        <v>1С сопровождение</v>
      </c>
      <c r="B83" s="26" t="s">
        <v>375</v>
      </c>
      <c r="C83" s="27">
        <f>прил.3!G95</f>
        <v>0</v>
      </c>
      <c r="D83" s="27"/>
      <c r="E83" s="27"/>
      <c r="F83" s="35"/>
      <c r="G83" s="35">
        <f>прил.3!G95</f>
        <v>0</v>
      </c>
      <c r="H83" s="35">
        <f t="shared" si="23"/>
        <v>0</v>
      </c>
      <c r="I83" s="35">
        <f t="shared" si="23"/>
        <v>0</v>
      </c>
      <c r="J83" s="35">
        <f t="shared" si="23"/>
        <v>0</v>
      </c>
      <c r="K83" s="35">
        <f t="shared" si="23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</row>
    <row r="84" s="1" customFormat="1" spans="1:82">
      <c r="A84" s="55" t="str">
        <f>прил.3!B96</f>
        <v>Электронная отчетность</v>
      </c>
      <c r="B84" s="26" t="s">
        <v>375</v>
      </c>
      <c r="C84" s="27">
        <f>прил.3!G96</f>
        <v>4450</v>
      </c>
      <c r="D84" s="27"/>
      <c r="E84" s="27"/>
      <c r="F84" s="35"/>
      <c r="G84" s="35">
        <f>прил.3!G96</f>
        <v>4450</v>
      </c>
      <c r="H84" s="35">
        <f t="shared" si="23"/>
        <v>7.01</v>
      </c>
      <c r="I84" s="35">
        <f t="shared" si="23"/>
        <v>7.01</v>
      </c>
      <c r="J84" s="35">
        <f t="shared" si="23"/>
        <v>0</v>
      </c>
      <c r="K84" s="35">
        <f t="shared" si="23"/>
        <v>7.01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</row>
    <row r="85" s="1" customFormat="1" ht="25.5" spans="1:82">
      <c r="A85" s="55" t="str">
        <f>прил.3!B100</f>
        <v>организация питания по принципу аутсорсинга</v>
      </c>
      <c r="B85" s="26" t="s">
        <v>375</v>
      </c>
      <c r="C85" s="27">
        <f>прил.3!G100</f>
        <v>1313847</v>
      </c>
      <c r="D85" s="27"/>
      <c r="E85" s="27"/>
      <c r="F85" s="35"/>
      <c r="G85" s="35">
        <f>прил.3!G100</f>
        <v>1313847</v>
      </c>
      <c r="H85" s="35">
        <f>IF(H$5&lt;=0,0,IF($G85=0,0,ROUND($G85/($H$5+$I$5+$J$5+$K$5),2)))</f>
        <v>2069.05</v>
      </c>
      <c r="I85" s="35">
        <f t="shared" si="23"/>
        <v>2069.05</v>
      </c>
      <c r="J85" s="35">
        <f t="shared" si="23"/>
        <v>0</v>
      </c>
      <c r="K85" s="35">
        <f t="shared" si="23"/>
        <v>2069.05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</row>
    <row r="86" s="4" customFormat="1" hidden="1" spans="1:82">
      <c r="A86" s="55" t="s">
        <v>392</v>
      </c>
      <c r="B86" s="26" t="s">
        <v>375</v>
      </c>
      <c r="C86" s="27">
        <f>прил.3!G98</f>
        <v>0</v>
      </c>
      <c r="D86" s="27"/>
      <c r="E86" s="27"/>
      <c r="F86" s="27"/>
      <c r="G86" s="27">
        <f>прил.3!G98</f>
        <v>0</v>
      </c>
      <c r="H86" s="35">
        <f t="shared" ref="H86:K94" si="24">IF(H$5&lt;=0,0,IF($G86=0,0,ROUND($G86/($H$5+$I$5+$J$5+$K$5),2)))</f>
        <v>0</v>
      </c>
      <c r="I86" s="35">
        <f t="shared" si="23"/>
        <v>0</v>
      </c>
      <c r="J86" s="35">
        <f t="shared" si="23"/>
        <v>0</v>
      </c>
      <c r="K86" s="35">
        <f t="shared" si="23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</row>
    <row r="87" s="4" customFormat="1" hidden="1" spans="1:82">
      <c r="A87" s="55"/>
      <c r="B87" s="26" t="s">
        <v>375</v>
      </c>
      <c r="C87" s="27"/>
      <c r="D87" s="27"/>
      <c r="E87" s="27"/>
      <c r="F87" s="35"/>
      <c r="G87" s="35"/>
      <c r="H87" s="35">
        <f t="shared" si="24"/>
        <v>0</v>
      </c>
      <c r="I87" s="35">
        <f t="shared" si="23"/>
        <v>0</v>
      </c>
      <c r="J87" s="35">
        <f t="shared" si="23"/>
        <v>0</v>
      </c>
      <c r="K87" s="35">
        <f t="shared" si="23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</row>
    <row r="88" s="4" customFormat="1" ht="25.5" spans="1:82">
      <c r="A88" s="55" t="str">
        <f>прил.3!B99</f>
        <v>Договор подряда медперсонала в бвссейне</v>
      </c>
      <c r="B88" s="26" t="s">
        <v>375</v>
      </c>
      <c r="C88" s="27">
        <f>прил.3!G99</f>
        <v>75688</v>
      </c>
      <c r="D88" s="27"/>
      <c r="E88" s="27"/>
      <c r="F88" s="35"/>
      <c r="G88" s="35">
        <f>прил.3!G99</f>
        <v>75688</v>
      </c>
      <c r="H88" s="35">
        <f t="shared" si="24"/>
        <v>119.19</v>
      </c>
      <c r="I88" s="35">
        <f t="shared" si="23"/>
        <v>119.19</v>
      </c>
      <c r="J88" s="35">
        <f t="shared" si="23"/>
        <v>0</v>
      </c>
      <c r="K88" s="35">
        <f t="shared" si="23"/>
        <v>119.19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</row>
    <row r="89" s="4" customFormat="1" hidden="1" spans="1:82">
      <c r="A89" s="55"/>
      <c r="B89" s="26" t="s">
        <v>375</v>
      </c>
      <c r="C89" s="27"/>
      <c r="D89" s="27"/>
      <c r="E89" s="27"/>
      <c r="F89" s="35"/>
      <c r="G89" s="35"/>
      <c r="H89" s="35">
        <f t="shared" si="24"/>
        <v>0</v>
      </c>
      <c r="I89" s="35">
        <f t="shared" si="23"/>
        <v>0</v>
      </c>
      <c r="J89" s="35">
        <f t="shared" si="23"/>
        <v>0</v>
      </c>
      <c r="K89" s="35">
        <f t="shared" si="23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</row>
    <row r="90" s="4" customFormat="1" spans="1:82">
      <c r="A90" s="55" t="str">
        <f>прил.3!B101</f>
        <v>Физическая охрана (ЧОП)</v>
      </c>
      <c r="B90" s="26" t="s">
        <v>375</v>
      </c>
      <c r="C90" s="27">
        <f>прил.3!G101</f>
        <v>874800</v>
      </c>
      <c r="D90" s="27"/>
      <c r="E90" s="27"/>
      <c r="F90" s="35"/>
      <c r="G90" s="35">
        <f>прил.3!G101</f>
        <v>874800</v>
      </c>
      <c r="H90" s="35">
        <f t="shared" si="24"/>
        <v>1377.64</v>
      </c>
      <c r="I90" s="35">
        <f t="shared" si="23"/>
        <v>1377.64</v>
      </c>
      <c r="J90" s="35">
        <f t="shared" si="23"/>
        <v>0</v>
      </c>
      <c r="K90" s="35">
        <f t="shared" si="23"/>
        <v>1377.64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</row>
    <row r="91" s="4" customFormat="1" hidden="1" spans="1:82">
      <c r="A91" s="55"/>
      <c r="B91" s="26" t="s">
        <v>375</v>
      </c>
      <c r="C91" s="27">
        <f>прил.3!G102</f>
        <v>0</v>
      </c>
      <c r="D91" s="27"/>
      <c r="E91" s="27"/>
      <c r="F91" s="35"/>
      <c r="G91" s="35"/>
      <c r="H91" s="35">
        <f t="shared" si="24"/>
        <v>0</v>
      </c>
      <c r="I91" s="35">
        <f t="shared" si="23"/>
        <v>0</v>
      </c>
      <c r="J91" s="35">
        <f t="shared" si="23"/>
        <v>0</v>
      </c>
      <c r="K91" s="35">
        <f t="shared" si="23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</row>
    <row r="92" s="4" customFormat="1" hidden="1" spans="1:82">
      <c r="A92" s="56"/>
      <c r="B92" s="26" t="s">
        <v>375</v>
      </c>
      <c r="C92" s="27">
        <f>прил.3!G103</f>
        <v>0</v>
      </c>
      <c r="D92" s="27"/>
      <c r="E92" s="27"/>
      <c r="F92" s="35"/>
      <c r="G92" s="35"/>
      <c r="H92" s="35">
        <f t="shared" si="24"/>
        <v>0</v>
      </c>
      <c r="I92" s="35">
        <f t="shared" si="23"/>
        <v>0</v>
      </c>
      <c r="J92" s="35">
        <f t="shared" si="23"/>
        <v>0</v>
      </c>
      <c r="K92" s="35">
        <f t="shared" si="23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</row>
    <row r="93" s="4" customFormat="1" hidden="1" spans="1:82">
      <c r="A93" s="56"/>
      <c r="B93" s="26" t="s">
        <v>375</v>
      </c>
      <c r="C93" s="27"/>
      <c r="D93" s="27"/>
      <c r="E93" s="27"/>
      <c r="F93" s="35"/>
      <c r="G93" s="35"/>
      <c r="H93" s="35">
        <f t="shared" si="24"/>
        <v>0</v>
      </c>
      <c r="I93" s="35">
        <f t="shared" si="23"/>
        <v>0</v>
      </c>
      <c r="J93" s="35">
        <f t="shared" si="23"/>
        <v>0</v>
      </c>
      <c r="K93" s="35">
        <f t="shared" si="23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</row>
    <row r="94" s="4" customFormat="1" hidden="1" spans="1:82">
      <c r="A94" s="57" t="str">
        <f>прил.3!B106</f>
        <v>Госпошлина</v>
      </c>
      <c r="B94" s="26" t="s">
        <v>375</v>
      </c>
      <c r="C94" s="27">
        <f>прил.3!G106</f>
        <v>0</v>
      </c>
      <c r="D94" s="27"/>
      <c r="E94" s="27"/>
      <c r="F94" s="35"/>
      <c r="G94" s="35">
        <f>прил.3!G106</f>
        <v>0</v>
      </c>
      <c r="H94" s="35">
        <f t="shared" si="24"/>
        <v>0</v>
      </c>
      <c r="I94" s="35">
        <f t="shared" si="24"/>
        <v>0</v>
      </c>
      <c r="J94" s="35">
        <f t="shared" si="24"/>
        <v>0</v>
      </c>
      <c r="K94" s="35">
        <f t="shared" si="24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</row>
    <row r="95" s="1" customFormat="1" spans="1:82">
      <c r="A95" s="58" t="s">
        <v>393</v>
      </c>
      <c r="B95" s="58"/>
      <c r="C95" s="59">
        <f>SUM(C81:C94)</f>
        <v>2512375</v>
      </c>
      <c r="D95" s="59">
        <f>SUM(D81:D93)</f>
        <v>0</v>
      </c>
      <c r="E95" s="59">
        <f t="shared" ref="E95:F95" si="25">SUM(E81:E93)</f>
        <v>0</v>
      </c>
      <c r="F95" s="59">
        <f t="shared" si="25"/>
        <v>0</v>
      </c>
      <c r="G95" s="59">
        <f>SUM(G81:G94)</f>
        <v>2512375</v>
      </c>
      <c r="H95" s="59">
        <f>SUM(H81:H94)</f>
        <v>3956.5</v>
      </c>
      <c r="I95" s="59">
        <f>SUM(I81:I94)</f>
        <v>3956.5</v>
      </c>
      <c r="J95" s="59">
        <f>SUM(J81:J94)</f>
        <v>0</v>
      </c>
      <c r="K95" s="59">
        <f>SUM(K81:K94)</f>
        <v>3956.5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</row>
    <row r="96" s="4" customFormat="1" ht="31.5" hidden="1" customHeight="1" spans="1:82">
      <c r="A96" s="60" t="s">
        <v>394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</row>
    <row r="97" s="1" customFormat="1" hidden="1" spans="1:82">
      <c r="A97" s="61" t="s">
        <v>321</v>
      </c>
      <c r="B97" s="26" t="s">
        <v>375</v>
      </c>
      <c r="C97" s="27">
        <f>прил.4!F6</f>
        <v>0</v>
      </c>
      <c r="D97" s="27"/>
      <c r="E97" s="27"/>
      <c r="F97" s="35"/>
      <c r="G97" s="35">
        <f>прил.4!F6</f>
        <v>0</v>
      </c>
      <c r="H97" s="35">
        <f t="shared" ref="H97:K98" si="26">IF(H$5&lt;=0,0,IF($G97=0,0,ROUND($G97/($H$5+$I$5+$J$5+$K$5),2)))</f>
        <v>0</v>
      </c>
      <c r="I97" s="35">
        <f t="shared" si="26"/>
        <v>0</v>
      </c>
      <c r="J97" s="35">
        <f t="shared" si="26"/>
        <v>0</v>
      </c>
      <c r="K97" s="35">
        <f t="shared" si="26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</row>
    <row r="98" s="4" customFormat="1" hidden="1" spans="1:82">
      <c r="A98" s="61" t="s">
        <v>322</v>
      </c>
      <c r="B98" s="26" t="s">
        <v>375</v>
      </c>
      <c r="C98" s="27">
        <f>прил.4!F7</f>
        <v>0</v>
      </c>
      <c r="D98" s="27"/>
      <c r="E98" s="27"/>
      <c r="F98" s="35"/>
      <c r="G98" s="35">
        <f>прил.4!F7</f>
        <v>0</v>
      </c>
      <c r="H98" s="35">
        <f t="shared" si="26"/>
        <v>0</v>
      </c>
      <c r="I98" s="35">
        <f t="shared" si="26"/>
        <v>0</v>
      </c>
      <c r="J98" s="35">
        <f t="shared" si="26"/>
        <v>0</v>
      </c>
      <c r="K98" s="35">
        <f t="shared" si="26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</row>
    <row r="99" s="4" customFormat="1" hidden="1" spans="1:82">
      <c r="A99" s="54" t="s">
        <v>393</v>
      </c>
      <c r="B99" s="54"/>
      <c r="C99" s="40">
        <f>C97+C98</f>
        <v>0</v>
      </c>
      <c r="D99" s="40">
        <f>D97+D98</f>
        <v>0</v>
      </c>
      <c r="E99" s="40">
        <f t="shared" ref="E99:K99" si="27">E97+E98</f>
        <v>0</v>
      </c>
      <c r="F99" s="40">
        <f t="shared" si="27"/>
        <v>0</v>
      </c>
      <c r="G99" s="40">
        <f t="shared" si="27"/>
        <v>0</v>
      </c>
      <c r="H99" s="40">
        <f t="shared" si="27"/>
        <v>0</v>
      </c>
      <c r="I99" s="40">
        <f t="shared" si="27"/>
        <v>0</v>
      </c>
      <c r="J99" s="40">
        <f t="shared" si="27"/>
        <v>0</v>
      </c>
      <c r="K99" s="40">
        <f t="shared" si="2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</row>
    <row r="100" s="4" customFormat="1" ht="21.75" hidden="1" customHeight="1" spans="1:82">
      <c r="A100" s="62" t="s">
        <v>395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</row>
    <row r="101" s="1" customFormat="1" hidden="1" spans="1:82">
      <c r="A101" s="61" t="s">
        <v>324</v>
      </c>
      <c r="B101" s="26" t="s">
        <v>375</v>
      </c>
      <c r="C101" s="63">
        <f>прил.4!F12</f>
        <v>0</v>
      </c>
      <c r="D101" s="63"/>
      <c r="E101" s="27"/>
      <c r="F101" s="35"/>
      <c r="G101" s="35">
        <f>прил.4!F12</f>
        <v>0</v>
      </c>
      <c r="H101" s="35">
        <f t="shared" ref="H101:K104" si="28">IF(H$5&lt;=0,0,IF($G101=0,0,ROUND($G101/($H$5+$I$5+$J$5+$K$5),2)))</f>
        <v>0</v>
      </c>
      <c r="I101" s="35">
        <f t="shared" si="28"/>
        <v>0</v>
      </c>
      <c r="J101" s="35">
        <f t="shared" si="28"/>
        <v>0</v>
      </c>
      <c r="K101" s="35">
        <f t="shared" si="28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</row>
    <row r="102" s="4" customFormat="1" hidden="1" spans="1:82">
      <c r="A102" s="61" t="s">
        <v>325</v>
      </c>
      <c r="B102" s="26" t="s">
        <v>375</v>
      </c>
      <c r="C102" s="63">
        <f>прил.4!F13</f>
        <v>0</v>
      </c>
      <c r="D102" s="63"/>
      <c r="E102" s="27"/>
      <c r="F102" s="35"/>
      <c r="G102" s="35">
        <f>прил.4!F13</f>
        <v>0</v>
      </c>
      <c r="H102" s="35">
        <f t="shared" si="28"/>
        <v>0</v>
      </c>
      <c r="I102" s="35">
        <f t="shared" si="28"/>
        <v>0</v>
      </c>
      <c r="J102" s="35">
        <f t="shared" si="28"/>
        <v>0</v>
      </c>
      <c r="K102" s="35">
        <f t="shared" si="28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</row>
    <row r="103" s="4" customFormat="1" hidden="1" spans="1:82">
      <c r="A103" s="61" t="s">
        <v>326</v>
      </c>
      <c r="B103" s="26" t="s">
        <v>375</v>
      </c>
      <c r="C103" s="63">
        <f>ROUND(прил.4!F14/12,2)</f>
        <v>0</v>
      </c>
      <c r="D103" s="63"/>
      <c r="E103" s="63"/>
      <c r="F103" s="35"/>
      <c r="G103" s="35">
        <f>прил.4!F14</f>
        <v>0</v>
      </c>
      <c r="H103" s="35">
        <f t="shared" si="28"/>
        <v>0</v>
      </c>
      <c r="I103" s="35">
        <f t="shared" si="28"/>
        <v>0</v>
      </c>
      <c r="J103" s="35">
        <f t="shared" si="28"/>
        <v>0</v>
      </c>
      <c r="K103" s="35">
        <f t="shared" si="28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</row>
    <row r="104" s="4" customFormat="1" hidden="1" spans="1:82">
      <c r="A104" s="61"/>
      <c r="B104" s="26" t="s">
        <v>375</v>
      </c>
      <c r="C104" s="63"/>
      <c r="D104" s="63"/>
      <c r="E104" s="63"/>
      <c r="F104" s="35"/>
      <c r="G104" s="35"/>
      <c r="H104" s="35">
        <f t="shared" si="28"/>
        <v>0</v>
      </c>
      <c r="I104" s="35">
        <f t="shared" si="28"/>
        <v>0</v>
      </c>
      <c r="J104" s="35">
        <f t="shared" si="28"/>
        <v>0</v>
      </c>
      <c r="K104" s="35">
        <f t="shared" si="28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</row>
    <row r="105" s="4" customFormat="1" hidden="1" spans="1:82">
      <c r="A105" s="54" t="s">
        <v>393</v>
      </c>
      <c r="B105" s="54"/>
      <c r="C105" s="40">
        <f>C101+C102+C103+C104</f>
        <v>0</v>
      </c>
      <c r="D105" s="40">
        <f>D101+D102+D103+D104</f>
        <v>0</v>
      </c>
      <c r="E105" s="40">
        <f t="shared" ref="E105:K105" si="29">E101+E102+E103+E104</f>
        <v>0</v>
      </c>
      <c r="F105" s="40">
        <f t="shared" si="29"/>
        <v>0</v>
      </c>
      <c r="G105" s="40">
        <f t="shared" si="29"/>
        <v>0</v>
      </c>
      <c r="H105" s="40">
        <f t="shared" si="29"/>
        <v>0</v>
      </c>
      <c r="I105" s="40">
        <f t="shared" si="29"/>
        <v>0</v>
      </c>
      <c r="J105" s="40">
        <f t="shared" si="29"/>
        <v>0</v>
      </c>
      <c r="K105" s="40">
        <f t="shared" si="29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</row>
    <row r="106" s="4" customFormat="1" ht="36.75" hidden="1" customHeight="1" spans="1:82">
      <c r="A106" s="60" t="s">
        <v>396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</row>
    <row r="107" s="4" customFormat="1" hidden="1" spans="1:82">
      <c r="A107" s="61" t="s">
        <v>331</v>
      </c>
      <c r="B107" s="26" t="s">
        <v>375</v>
      </c>
      <c r="C107" s="63">
        <f>прил.4!F22</f>
        <v>0</v>
      </c>
      <c r="D107" s="63"/>
      <c r="E107" s="27"/>
      <c r="F107" s="35"/>
      <c r="G107" s="35">
        <f>прил.4!F22</f>
        <v>0</v>
      </c>
      <c r="H107" s="35">
        <f>IF(H$5&lt;=0,0,IF($G107=0,0,ROUND($G107/($H$5+$I$5+$J$5+$K$5),2)))</f>
        <v>0</v>
      </c>
      <c r="I107" s="35">
        <f>IF(I$5&lt;=0,0,IF($G107=0,0,ROUND($G107/($H$5+$I$5+$J$5+$K$5),2)))</f>
        <v>0</v>
      </c>
      <c r="J107" s="35">
        <f>IF(J$5&lt;=0,0,IF($G107=0,0,ROUND($G107/($H$5+$I$5+$J$5+$K$5),2)))</f>
        <v>0</v>
      </c>
      <c r="K107" s="35">
        <f>IF(K$5&lt;=0,0,IF($G107=0,0,ROUND($G107/($H$5+$I$5+$J$5+$K$5),2)))</f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</row>
    <row r="108" s="4" customFormat="1" hidden="1" spans="1:82">
      <c r="A108" s="54" t="s">
        <v>393</v>
      </c>
      <c r="B108" s="54"/>
      <c r="C108" s="40">
        <f>C107</f>
        <v>0</v>
      </c>
      <c r="D108" s="40">
        <f>D107</f>
        <v>0</v>
      </c>
      <c r="E108" s="40">
        <f t="shared" ref="E108:K108" si="30">E107</f>
        <v>0</v>
      </c>
      <c r="F108" s="40">
        <f t="shared" si="30"/>
        <v>0</v>
      </c>
      <c r="G108" s="40">
        <f t="shared" si="30"/>
        <v>0</v>
      </c>
      <c r="H108" s="40">
        <f t="shared" si="30"/>
        <v>0</v>
      </c>
      <c r="I108" s="40">
        <f t="shared" si="30"/>
        <v>0</v>
      </c>
      <c r="J108" s="40">
        <f t="shared" si="30"/>
        <v>0</v>
      </c>
      <c r="K108" s="40">
        <f t="shared" si="30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</row>
    <row r="109" s="4" customFormat="1" ht="25.5" hidden="1" customHeight="1" spans="1:82">
      <c r="A109" s="62" t="s">
        <v>397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</row>
    <row r="110" s="5" customFormat="1" hidden="1" spans="1:82">
      <c r="A110" s="61"/>
      <c r="B110" s="26" t="s">
        <v>375</v>
      </c>
      <c r="C110" s="63">
        <f>прил.4!F29</f>
        <v>0</v>
      </c>
      <c r="D110" s="63"/>
      <c r="E110" s="27"/>
      <c r="F110" s="35"/>
      <c r="G110" s="35"/>
      <c r="H110" s="35">
        <f t="shared" ref="H110:K111" si="31">IF(H$5&lt;=0,0,IF($G110=0,0,ROUND($G110/($H$5+$I$5+$J$5+$K$5),2)))</f>
        <v>0</v>
      </c>
      <c r="I110" s="35">
        <f t="shared" si="31"/>
        <v>0</v>
      </c>
      <c r="J110" s="35">
        <f t="shared" si="31"/>
        <v>0</v>
      </c>
      <c r="K110" s="35">
        <f t="shared" si="31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</row>
    <row r="111" hidden="1" spans="1:11">
      <c r="A111" s="61"/>
      <c r="B111" s="26" t="s">
        <v>375</v>
      </c>
      <c r="C111" s="63">
        <f>прил.4!F30</f>
        <v>0</v>
      </c>
      <c r="D111" s="63"/>
      <c r="E111" s="27"/>
      <c r="F111" s="35"/>
      <c r="G111" s="35"/>
      <c r="H111" s="35">
        <f t="shared" si="31"/>
        <v>0</v>
      </c>
      <c r="I111" s="35">
        <f t="shared" si="31"/>
        <v>0</v>
      </c>
      <c r="J111" s="35">
        <f t="shared" si="31"/>
        <v>0</v>
      </c>
      <c r="K111" s="35">
        <f t="shared" si="31"/>
        <v>0</v>
      </c>
    </row>
    <row r="112" hidden="1" spans="1:11">
      <c r="A112" s="54" t="s">
        <v>393</v>
      </c>
      <c r="B112" s="54"/>
      <c r="C112" s="40">
        <f>C110+C111</f>
        <v>0</v>
      </c>
      <c r="D112" s="40">
        <f>D110+D111</f>
        <v>0</v>
      </c>
      <c r="E112" s="40">
        <f t="shared" ref="E112:K112" si="32">E110+E111</f>
        <v>0</v>
      </c>
      <c r="F112" s="40">
        <f t="shared" si="32"/>
        <v>0</v>
      </c>
      <c r="G112" s="40">
        <f t="shared" si="32"/>
        <v>0</v>
      </c>
      <c r="H112" s="40">
        <f t="shared" si="32"/>
        <v>0</v>
      </c>
      <c r="I112" s="40">
        <f t="shared" si="32"/>
        <v>0</v>
      </c>
      <c r="J112" s="40">
        <f t="shared" si="32"/>
        <v>0</v>
      </c>
      <c r="K112" s="40">
        <f t="shared" si="32"/>
        <v>0</v>
      </c>
    </row>
    <row r="113" ht="26.25" customHeight="1" spans="1:11">
      <c r="A113" s="49" t="s">
        <v>398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>
      <c r="A114" s="50" t="s">
        <v>338</v>
      </c>
      <c r="B114" s="26" t="s">
        <v>375</v>
      </c>
      <c r="C114" s="27">
        <f>прил.5!I6+прил.5!I7+прил.5!I8</f>
        <v>67954.16</v>
      </c>
      <c r="D114" s="27"/>
      <c r="E114" s="27"/>
      <c r="F114" s="35"/>
      <c r="G114" s="35">
        <f>прил.5!I6+прил.5!I7+прил.5!I8</f>
        <v>67954.16</v>
      </c>
      <c r="H114" s="35">
        <f t="shared" ref="H114:K119" si="33">IF(H$5&lt;=0,0,IF($G114=0,0,ROUND($G114/($H$5+$I$5+$J$5+$K$5),2)))</f>
        <v>107.01</v>
      </c>
      <c r="I114" s="35">
        <f t="shared" si="33"/>
        <v>107.01</v>
      </c>
      <c r="J114" s="35">
        <f t="shared" si="33"/>
        <v>0</v>
      </c>
      <c r="K114" s="35">
        <f t="shared" si="33"/>
        <v>107.01</v>
      </c>
    </row>
    <row r="115" spans="1:11">
      <c r="A115" s="50" t="s">
        <v>340</v>
      </c>
      <c r="B115" s="26" t="s">
        <v>375</v>
      </c>
      <c r="C115" s="27">
        <f>прил.5!I9+прил.5!I10+прил.5!I11</f>
        <v>84971.25</v>
      </c>
      <c r="D115" s="27"/>
      <c r="E115" s="27"/>
      <c r="F115" s="35"/>
      <c r="G115" s="35">
        <f>прил.5!I9+прил.5!I10+прил.5!I11</f>
        <v>84971.25</v>
      </c>
      <c r="H115" s="35">
        <f t="shared" si="33"/>
        <v>133.81</v>
      </c>
      <c r="I115" s="35">
        <f t="shared" si="33"/>
        <v>133.81</v>
      </c>
      <c r="J115" s="35">
        <f t="shared" si="33"/>
        <v>0</v>
      </c>
      <c r="K115" s="35">
        <f t="shared" si="33"/>
        <v>133.81</v>
      </c>
    </row>
    <row r="116" spans="1:11">
      <c r="A116" s="50" t="s">
        <v>341</v>
      </c>
      <c r="B116" s="26" t="s">
        <v>375</v>
      </c>
      <c r="C116" s="27">
        <f>прил.5!I12+прил.5!I13+прил.5!I15+прил.5!I16+прил.5!I14</f>
        <v>408533.01</v>
      </c>
      <c r="D116" s="27"/>
      <c r="E116" s="27"/>
      <c r="F116" s="35"/>
      <c r="G116" s="35">
        <f>прил.5!I12+прил.5!I13+прил.5!I14+прил.5!I15+прил.5!I16</f>
        <v>408533.01</v>
      </c>
      <c r="H116" s="35">
        <f t="shared" si="33"/>
        <v>643.36</v>
      </c>
      <c r="I116" s="35">
        <f t="shared" si="33"/>
        <v>643.36</v>
      </c>
      <c r="J116" s="35">
        <f t="shared" si="33"/>
        <v>0</v>
      </c>
      <c r="K116" s="35">
        <f t="shared" si="33"/>
        <v>643.36</v>
      </c>
    </row>
    <row r="117" spans="1:11">
      <c r="A117" s="64" t="s">
        <v>344</v>
      </c>
      <c r="B117" s="26" t="s">
        <v>375</v>
      </c>
      <c r="C117" s="27">
        <f>прил.5!I17+прил.5!I18+прил.5!I19+прил.5!I20</f>
        <v>1275972.52</v>
      </c>
      <c r="D117" s="27"/>
      <c r="E117" s="27"/>
      <c r="F117" s="35"/>
      <c r="G117" s="35">
        <f>прил.5!I17+прил.5!I18+прил.5!I19+прил.5!I20</f>
        <v>1275972.52</v>
      </c>
      <c r="H117" s="35">
        <f t="shared" si="33"/>
        <v>2009.41</v>
      </c>
      <c r="I117" s="35">
        <f t="shared" si="33"/>
        <v>2009.41</v>
      </c>
      <c r="J117" s="35">
        <f t="shared" si="33"/>
        <v>0</v>
      </c>
      <c r="K117" s="35">
        <f t="shared" si="33"/>
        <v>2009.41</v>
      </c>
    </row>
    <row r="118" spans="1:11">
      <c r="A118" s="64" t="s">
        <v>399</v>
      </c>
      <c r="B118" s="26" t="s">
        <v>375</v>
      </c>
      <c r="C118" s="27">
        <f>прил.5!I21+прил.5!I22+прил.5!I23</f>
        <v>436421.06</v>
      </c>
      <c r="D118" s="27"/>
      <c r="E118" s="27"/>
      <c r="F118" s="35"/>
      <c r="G118" s="35">
        <f>прил.5!I21+прил.5!I22+прил.5!I23</f>
        <v>436421.06</v>
      </c>
      <c r="H118" s="35">
        <f t="shared" si="33"/>
        <v>687.28</v>
      </c>
      <c r="I118" s="35">
        <f t="shared" si="33"/>
        <v>687.28</v>
      </c>
      <c r="J118" s="35">
        <f t="shared" si="33"/>
        <v>0</v>
      </c>
      <c r="K118" s="35">
        <f t="shared" si="33"/>
        <v>687.28</v>
      </c>
    </row>
    <row r="119" ht="25.5" spans="1:11">
      <c r="A119" s="50" t="str">
        <f>[1]прил.5!B31</f>
        <v>вывоз жидких бытовых отходов и объемов жидких бытовых отходов</v>
      </c>
      <c r="B119" s="26" t="s">
        <v>375</v>
      </c>
      <c r="C119" s="27"/>
      <c r="D119" s="27"/>
      <c r="E119" s="27"/>
      <c r="F119" s="35"/>
      <c r="G119" s="35"/>
      <c r="H119" s="35">
        <f t="shared" si="33"/>
        <v>0</v>
      </c>
      <c r="I119" s="35">
        <f t="shared" si="33"/>
        <v>0</v>
      </c>
      <c r="J119" s="35">
        <f t="shared" si="33"/>
        <v>0</v>
      </c>
      <c r="K119" s="35">
        <f t="shared" si="33"/>
        <v>0</v>
      </c>
    </row>
    <row r="120" s="6" customFormat="1" spans="1:82">
      <c r="A120" s="65" t="s">
        <v>393</v>
      </c>
      <c r="B120" s="66"/>
      <c r="C120" s="67">
        <f>SUM(C114:C119)</f>
        <v>2273852</v>
      </c>
      <c r="D120" s="67">
        <f>SUM(D114:D119)</f>
        <v>0</v>
      </c>
      <c r="E120" s="67">
        <f t="shared" ref="E120:K120" si="34">SUM(E114:E119)</f>
        <v>0</v>
      </c>
      <c r="F120" s="67">
        <f t="shared" si="34"/>
        <v>0</v>
      </c>
      <c r="G120" s="67">
        <f t="shared" si="34"/>
        <v>2273852</v>
      </c>
      <c r="H120" s="67">
        <f t="shared" si="34"/>
        <v>3580.87</v>
      </c>
      <c r="I120" s="67">
        <f t="shared" si="34"/>
        <v>3580.87</v>
      </c>
      <c r="J120" s="67">
        <f t="shared" si="34"/>
        <v>0</v>
      </c>
      <c r="K120" s="67">
        <f t="shared" si="34"/>
        <v>3580.87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</row>
    <row r="121" ht="25.5" spans="1:11">
      <c r="A121" s="68" t="s">
        <v>400</v>
      </c>
      <c r="B121" s="68"/>
      <c r="C121" s="32">
        <f t="shared" ref="C121:K121" si="35">C32+C73+C79+C95+C99+C105+C108+C112+C120</f>
        <v>24278299.04</v>
      </c>
      <c r="D121" s="32">
        <f t="shared" si="35"/>
        <v>14952299.04</v>
      </c>
      <c r="E121" s="32">
        <f t="shared" si="35"/>
        <v>23546.92</v>
      </c>
      <c r="F121" s="32">
        <f t="shared" si="35"/>
        <v>23546.93</v>
      </c>
      <c r="G121" s="32">
        <f t="shared" si="35"/>
        <v>9326000</v>
      </c>
      <c r="H121" s="32">
        <f t="shared" si="35"/>
        <v>14686.64</v>
      </c>
      <c r="I121" s="32">
        <f t="shared" si="35"/>
        <v>14686.64</v>
      </c>
      <c r="J121" s="32">
        <f t="shared" si="35"/>
        <v>0</v>
      </c>
      <c r="K121" s="32">
        <f t="shared" si="35"/>
        <v>14686.64</v>
      </c>
    </row>
    <row r="122" ht="27.75" customHeight="1" spans="1:11">
      <c r="A122" s="33" t="s">
        <v>401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>
      <c r="A123" s="56" t="s">
        <v>402</v>
      </c>
      <c r="B123" s="26" t="s">
        <v>375</v>
      </c>
      <c r="C123" s="27">
        <f>прил.6!E6</f>
        <v>874871</v>
      </c>
      <c r="D123" s="27"/>
      <c r="E123" s="27"/>
      <c r="F123" s="35"/>
      <c r="G123" s="35">
        <f>прил.6!E6</f>
        <v>874871</v>
      </c>
      <c r="H123" s="35">
        <f t="shared" ref="H123:K130" si="36">IF(H$5&lt;=0,0,IF($G123=0,0,ROUND($G123/($H$5+$I$5+$J$5+$K$5),2)))</f>
        <v>1377.75</v>
      </c>
      <c r="I123" s="35">
        <f t="shared" si="36"/>
        <v>1377.75</v>
      </c>
      <c r="J123" s="35">
        <f t="shared" si="36"/>
        <v>0</v>
      </c>
      <c r="K123" s="35">
        <f t="shared" si="36"/>
        <v>1377.75</v>
      </c>
    </row>
    <row r="124" spans="1:11">
      <c r="A124" s="56" t="s">
        <v>403</v>
      </c>
      <c r="B124" s="26" t="s">
        <v>375</v>
      </c>
      <c r="C124" s="27">
        <f>прил.6!E8</f>
        <v>400429</v>
      </c>
      <c r="D124" s="27"/>
      <c r="E124" s="27"/>
      <c r="F124" s="46"/>
      <c r="G124" s="46">
        <f>прил.6!E8</f>
        <v>400429</v>
      </c>
      <c r="H124" s="35">
        <f t="shared" si="36"/>
        <v>630.6</v>
      </c>
      <c r="I124" s="35">
        <f t="shared" si="36"/>
        <v>630.6</v>
      </c>
      <c r="J124" s="35">
        <f t="shared" si="36"/>
        <v>0</v>
      </c>
      <c r="K124" s="35">
        <f t="shared" si="36"/>
        <v>630.6</v>
      </c>
    </row>
    <row r="125" hidden="1" spans="1:11">
      <c r="A125" s="56" t="s">
        <v>353</v>
      </c>
      <c r="B125" s="26" t="s">
        <v>375</v>
      </c>
      <c r="C125" s="27">
        <f>прил.6!E10</f>
        <v>0</v>
      </c>
      <c r="D125" s="27"/>
      <c r="E125" s="27"/>
      <c r="F125" s="46"/>
      <c r="G125" s="46">
        <f>прил.6!E10</f>
        <v>0</v>
      </c>
      <c r="H125" s="35">
        <f t="shared" si="36"/>
        <v>0</v>
      </c>
      <c r="I125" s="35">
        <f t="shared" si="36"/>
        <v>0</v>
      </c>
      <c r="J125" s="35">
        <f t="shared" si="36"/>
        <v>0</v>
      </c>
      <c r="K125" s="35">
        <f t="shared" si="36"/>
        <v>0</v>
      </c>
    </row>
    <row r="126" hidden="1" spans="1:11">
      <c r="A126" s="56" t="s">
        <v>354</v>
      </c>
      <c r="B126" s="26" t="s">
        <v>375</v>
      </c>
      <c r="C126" s="27">
        <f>прил.6!E11</f>
        <v>0</v>
      </c>
      <c r="D126" s="27"/>
      <c r="E126" s="27"/>
      <c r="F126" s="46"/>
      <c r="G126" s="46">
        <f>прил.6!E11</f>
        <v>0</v>
      </c>
      <c r="H126" s="35">
        <f t="shared" si="36"/>
        <v>0</v>
      </c>
      <c r="I126" s="35">
        <f t="shared" si="36"/>
        <v>0</v>
      </c>
      <c r="J126" s="35">
        <f t="shared" si="36"/>
        <v>0</v>
      </c>
      <c r="K126" s="35">
        <f t="shared" si="36"/>
        <v>0</v>
      </c>
    </row>
    <row r="127" hidden="1" spans="1:11">
      <c r="A127" s="56" t="s">
        <v>355</v>
      </c>
      <c r="B127" s="26" t="s">
        <v>375</v>
      </c>
      <c r="C127" s="27">
        <f>прил.6!E12</f>
        <v>0</v>
      </c>
      <c r="D127" s="27"/>
      <c r="E127" s="27"/>
      <c r="F127" s="46"/>
      <c r="G127" s="46">
        <f>прил.6!E12</f>
        <v>0</v>
      </c>
      <c r="H127" s="35">
        <f t="shared" si="36"/>
        <v>0</v>
      </c>
      <c r="I127" s="35">
        <f t="shared" si="36"/>
        <v>0</v>
      </c>
      <c r="J127" s="35">
        <f t="shared" si="36"/>
        <v>0</v>
      </c>
      <c r="K127" s="35">
        <f t="shared" si="36"/>
        <v>0</v>
      </c>
    </row>
    <row r="128" spans="1:11">
      <c r="A128" s="64"/>
      <c r="B128" s="26" t="s">
        <v>375</v>
      </c>
      <c r="C128" s="27">
        <f>прил.6!G20+прил.6!G21+прил.6!G22</f>
        <v>0</v>
      </c>
      <c r="D128" s="27"/>
      <c r="E128" s="27"/>
      <c r="F128" s="35"/>
      <c r="G128" s="35">
        <f>прил.6!G20+прил.6!G21+прил.6!G22</f>
        <v>0</v>
      </c>
      <c r="H128" s="35">
        <f t="shared" si="36"/>
        <v>0</v>
      </c>
      <c r="I128" s="35">
        <f t="shared" si="36"/>
        <v>0</v>
      </c>
      <c r="J128" s="35">
        <f t="shared" si="36"/>
        <v>0</v>
      </c>
      <c r="K128" s="35">
        <f t="shared" si="36"/>
        <v>0</v>
      </c>
    </row>
    <row r="129" spans="1:11">
      <c r="A129" s="64"/>
      <c r="B129" s="26" t="s">
        <v>375</v>
      </c>
      <c r="C129" s="27">
        <f>прил.6!G23+прил.6!G24+прил.6!G27</f>
        <v>0</v>
      </c>
      <c r="D129" s="27"/>
      <c r="E129" s="27"/>
      <c r="F129" s="35"/>
      <c r="G129" s="35">
        <f>прил.6!G23+прил.6!G24+прил.6!G27</f>
        <v>0</v>
      </c>
      <c r="H129" s="35">
        <f t="shared" si="36"/>
        <v>0</v>
      </c>
      <c r="I129" s="35">
        <f t="shared" si="36"/>
        <v>0</v>
      </c>
      <c r="J129" s="35">
        <f t="shared" si="36"/>
        <v>0</v>
      </c>
      <c r="K129" s="35">
        <f t="shared" si="36"/>
        <v>0</v>
      </c>
    </row>
    <row r="130" hidden="1" spans="1:11">
      <c r="A130" s="56"/>
      <c r="B130" s="26"/>
      <c r="C130" s="27"/>
      <c r="D130" s="27"/>
      <c r="E130" s="27"/>
      <c r="F130" s="35"/>
      <c r="G130" s="35"/>
      <c r="H130" s="35">
        <f t="shared" si="36"/>
        <v>0</v>
      </c>
      <c r="I130" s="35">
        <f t="shared" si="36"/>
        <v>0</v>
      </c>
      <c r="J130" s="35">
        <f t="shared" si="36"/>
        <v>0</v>
      </c>
      <c r="K130" s="35">
        <f t="shared" si="36"/>
        <v>0</v>
      </c>
    </row>
    <row r="131" spans="1:11">
      <c r="A131" s="68" t="s">
        <v>393</v>
      </c>
      <c r="B131" s="31"/>
      <c r="C131" s="32">
        <f>SUM(C123:C129)</f>
        <v>1275300</v>
      </c>
      <c r="D131" s="32">
        <f>SUM(D123:D129)</f>
        <v>0</v>
      </c>
      <c r="E131" s="32">
        <f t="shared" ref="E131:K131" si="37">SUM(E123:E129)</f>
        <v>0</v>
      </c>
      <c r="F131" s="32">
        <f t="shared" si="37"/>
        <v>0</v>
      </c>
      <c r="G131" s="32">
        <f t="shared" si="37"/>
        <v>1275300</v>
      </c>
      <c r="H131" s="32">
        <f t="shared" si="37"/>
        <v>2008.35</v>
      </c>
      <c r="I131" s="32">
        <f t="shared" si="37"/>
        <v>2008.35</v>
      </c>
      <c r="J131" s="32">
        <f t="shared" si="37"/>
        <v>0</v>
      </c>
      <c r="K131" s="32">
        <f t="shared" si="37"/>
        <v>2008.35</v>
      </c>
    </row>
    <row r="132" ht="18.75" spans="1:11">
      <c r="A132" s="69" t="s">
        <v>404</v>
      </c>
      <c r="B132" s="70"/>
      <c r="C132" s="71">
        <f t="shared" ref="C132:E132" si="38">C14+C121+C131</f>
        <v>45700000</v>
      </c>
      <c r="D132" s="71">
        <f t="shared" si="38"/>
        <v>35094500</v>
      </c>
      <c r="E132" s="71">
        <f t="shared" si="38"/>
        <v>55266.92</v>
      </c>
      <c r="F132" s="71">
        <f>F14+F121+F131-0.02</f>
        <v>55266.92</v>
      </c>
      <c r="G132" s="71">
        <f>G14+G121+G131</f>
        <v>10605500</v>
      </c>
      <c r="H132" s="71">
        <f>H14+H121+H131-0.02</f>
        <v>16701.58</v>
      </c>
      <c r="I132" s="71">
        <f>I14+I121+I131-0.02</f>
        <v>16701.58</v>
      </c>
      <c r="J132" s="71">
        <f>J14+J121+J131</f>
        <v>0</v>
      </c>
      <c r="K132" s="71">
        <f>K14+K121+K131</f>
        <v>16701.6</v>
      </c>
    </row>
    <row r="133" hidden="1" spans="1:11">
      <c r="A133" s="72"/>
      <c r="B133" s="72"/>
      <c r="C133" s="73"/>
      <c r="D133" s="73"/>
      <c r="E133" s="72"/>
      <c r="F133" s="43"/>
      <c r="G133" s="43"/>
      <c r="H133" s="43"/>
      <c r="I133" s="43"/>
      <c r="J133" s="43"/>
      <c r="K133" s="43"/>
    </row>
    <row r="134" spans="1:11">
      <c r="A134" s="72"/>
      <c r="B134" s="72"/>
      <c r="C134" s="72"/>
      <c r="D134" s="72"/>
      <c r="E134" s="72"/>
      <c r="F134" s="43"/>
      <c r="G134" s="43"/>
      <c r="H134" s="43"/>
      <c r="I134" s="43"/>
      <c r="J134" s="43"/>
      <c r="K134" s="43"/>
    </row>
    <row r="135" spans="1:11">
      <c r="A135" s="74" t="s">
        <v>246</v>
      </c>
      <c r="B135" s="75"/>
      <c r="C135" s="72"/>
      <c r="D135" s="72"/>
      <c r="E135" s="76"/>
      <c r="F135" s="77" t="s">
        <v>247</v>
      </c>
      <c r="G135" s="43"/>
      <c r="H135" s="43"/>
      <c r="I135" s="43"/>
      <c r="J135" s="43"/>
      <c r="K135" s="43"/>
    </row>
    <row r="136" hidden="1" spans="1:11">
      <c r="A136" s="72"/>
      <c r="B136" s="75"/>
      <c r="C136" s="72"/>
      <c r="D136" s="72"/>
      <c r="E136" s="72"/>
      <c r="F136" s="7"/>
      <c r="G136" s="43"/>
      <c r="H136" s="43"/>
      <c r="I136" s="43"/>
      <c r="J136" s="43"/>
      <c r="K136" s="43"/>
    </row>
    <row r="137" spans="1:11">
      <c r="A137" s="72"/>
      <c r="B137" s="75"/>
      <c r="C137" s="72"/>
      <c r="D137" s="72"/>
      <c r="E137" s="72"/>
      <c r="F137" s="7"/>
      <c r="G137" s="43"/>
      <c r="H137" s="43"/>
      <c r="I137" s="43"/>
      <c r="J137" s="43"/>
      <c r="K137" s="43"/>
    </row>
    <row r="138" spans="1:11">
      <c r="A138" s="78" t="s">
        <v>249</v>
      </c>
      <c r="B138" s="75"/>
      <c r="C138" s="72"/>
      <c r="D138" s="72"/>
      <c r="E138" s="79"/>
      <c r="F138" s="77" t="s">
        <v>250</v>
      </c>
      <c r="G138" s="43"/>
      <c r="H138" s="43"/>
      <c r="I138" s="43"/>
      <c r="J138" s="43"/>
      <c r="K138" s="43"/>
    </row>
    <row r="139" spans="1:5">
      <c r="A139" s="80"/>
      <c r="B139" s="80"/>
      <c r="C139" s="80"/>
      <c r="D139" s="80"/>
      <c r="E139" s="80"/>
    </row>
    <row r="140" spans="3:11">
      <c r="C140" s="81">
        <f>'проверка 2020'!B13</f>
        <v>45700000</v>
      </c>
      <c r="D140" s="81">
        <f>'проверка 2020'!B14</f>
        <v>35094500</v>
      </c>
      <c r="E140" s="81">
        <f>'проверка 2020'!I19</f>
        <v>55266.92</v>
      </c>
      <c r="F140" s="82">
        <f>'проверка 2020'!J19</f>
        <v>55266.92</v>
      </c>
      <c r="G140" s="82">
        <f>'проверка 2020'!B24</f>
        <v>10605500</v>
      </c>
      <c r="H140" s="82">
        <f>'проверка 2020'!H36</f>
        <v>16701.58</v>
      </c>
      <c r="I140" s="82">
        <f>'проверка 2020'!I36</f>
        <v>16701.58</v>
      </c>
      <c r="J140" s="82">
        <f>'проверка 2020'!J36</f>
        <v>0</v>
      </c>
      <c r="K140" s="82">
        <f>'проверка 2020'!K36</f>
        <v>16701.58</v>
      </c>
    </row>
    <row r="141" spans="3:11">
      <c r="C141" s="81">
        <f>C132-C140</f>
        <v>0</v>
      </c>
      <c r="D141" s="81">
        <f t="shared" ref="D141:J141" si="39">D132-D140</f>
        <v>0</v>
      </c>
      <c r="E141" s="81">
        <f t="shared" si="39"/>
        <v>0</v>
      </c>
      <c r="F141" s="81">
        <f t="shared" si="39"/>
        <v>0</v>
      </c>
      <c r="G141" s="81">
        <f t="shared" si="39"/>
        <v>0</v>
      </c>
      <c r="H141" s="81">
        <f t="shared" si="39"/>
        <v>0</v>
      </c>
      <c r="I141" s="81">
        <f t="shared" si="39"/>
        <v>0</v>
      </c>
      <c r="J141" s="81">
        <f t="shared" si="39"/>
        <v>0</v>
      </c>
      <c r="K141" s="81">
        <f>K132-K140-0.02</f>
        <v>-3.20142176657434e-12</v>
      </c>
    </row>
    <row r="144" ht="71.25" customHeight="1" spans="1:1">
      <c r="A144" s="83" t="s">
        <v>405</v>
      </c>
    </row>
  </sheetData>
  <mergeCells count="21">
    <mergeCell ref="A1:K1"/>
    <mergeCell ref="A2:C2"/>
    <mergeCell ref="D2:K2"/>
    <mergeCell ref="A3:C3"/>
    <mergeCell ref="A4:K4"/>
    <mergeCell ref="A8:K8"/>
    <mergeCell ref="A15:K15"/>
    <mergeCell ref="A21:K21"/>
    <mergeCell ref="A27:K27"/>
    <mergeCell ref="A28:K28"/>
    <mergeCell ref="A33:K33"/>
    <mergeCell ref="A37:K37"/>
    <mergeCell ref="A43:K43"/>
    <mergeCell ref="A74:K74"/>
    <mergeCell ref="A80:K80"/>
    <mergeCell ref="A96:K96"/>
    <mergeCell ref="A100:K100"/>
    <mergeCell ref="A106:K106"/>
    <mergeCell ref="A109:K109"/>
    <mergeCell ref="A113:K113"/>
    <mergeCell ref="A122:K122"/>
  </mergeCells>
  <pageMargins left="0.354330708661417" right="0" top="0.196850393700787" bottom="0" header="0.31496062992126" footer="0"/>
  <pageSetup paperSize="9" scale="71" fitToHeight="0" orientation="landscape"/>
  <headerFooter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41"/>
  <sheetViews>
    <sheetView view="pageBreakPreview" zoomScaleNormal="100" topLeftCell="C19" workbookViewId="0">
      <selection activeCell="I12" sqref="I12:J12"/>
    </sheetView>
  </sheetViews>
  <sheetFormatPr defaultColWidth="9.14285714285714" defaultRowHeight="12.75"/>
  <cols>
    <col min="1" max="1" width="12.1428571428571" style="86" customWidth="1"/>
    <col min="2" max="2" width="15.5714285714286" style="86" customWidth="1"/>
    <col min="3" max="3" width="18.1428571428571" style="86" customWidth="1"/>
    <col min="4" max="4" width="15.1428571428571" style="86" customWidth="1"/>
    <col min="5" max="6" width="9.14285714285714" style="86" hidden="1" customWidth="1"/>
    <col min="7" max="7" width="12.4285714285714" style="86" customWidth="1"/>
    <col min="8" max="8" width="13.5714285714286" style="86" customWidth="1"/>
    <col min="9" max="9" width="13.8571428571429" style="86" customWidth="1"/>
    <col min="10" max="10" width="13.7142857142857" style="86" customWidth="1"/>
    <col min="11" max="11" width="14.5714285714286" style="86" customWidth="1"/>
    <col min="12" max="15" width="14.7142857142857" style="86" customWidth="1"/>
    <col min="16" max="16" width="15.1428571428571" style="86" customWidth="1"/>
    <col min="17" max="16384" width="9.14285714285714" style="86"/>
  </cols>
  <sheetData>
    <row r="2" ht="18.75" spans="1:4">
      <c r="A2" s="363" t="s">
        <v>177</v>
      </c>
      <c r="B2" s="363"/>
      <c r="C2" s="363"/>
      <c r="D2" s="363"/>
    </row>
    <row r="3" spans="8:8">
      <c r="H3" s="86" t="s">
        <v>178</v>
      </c>
    </row>
    <row r="4" spans="7:8">
      <c r="G4" s="86" t="s">
        <v>179</v>
      </c>
      <c r="H4" s="86">
        <v>57928.18</v>
      </c>
    </row>
    <row r="5" spans="7:12">
      <c r="G5" s="86" t="s">
        <v>180</v>
      </c>
      <c r="H5" s="86">
        <v>7555.49</v>
      </c>
      <c r="L5" s="86" t="s">
        <v>181</v>
      </c>
    </row>
    <row r="6" ht="25.5" spans="7:8">
      <c r="G6" s="364" t="s">
        <v>182</v>
      </c>
      <c r="H6" s="86">
        <v>37.35</v>
      </c>
    </row>
    <row r="8" ht="29.25" customHeight="1" spans="7:11">
      <c r="G8" s="365" t="s">
        <v>183</v>
      </c>
      <c r="H8" s="365"/>
      <c r="I8" s="365"/>
      <c r="J8" s="365"/>
      <c r="K8" s="365"/>
    </row>
    <row r="9" spans="7:11">
      <c r="G9" s="365"/>
      <c r="H9" s="365"/>
      <c r="K9" s="365"/>
    </row>
    <row r="10" spans="7:15">
      <c r="G10" s="365"/>
      <c r="H10" s="365"/>
      <c r="I10" s="372" t="s">
        <v>184</v>
      </c>
      <c r="J10" s="381"/>
      <c r="K10" s="365"/>
      <c r="L10" s="372" t="s">
        <v>185</v>
      </c>
      <c r="M10" s="381"/>
      <c r="N10" s="372" t="s">
        <v>186</v>
      </c>
      <c r="O10" s="381"/>
    </row>
    <row r="11" spans="8:15">
      <c r="H11" s="116"/>
      <c r="I11" s="170" t="s">
        <v>178</v>
      </c>
      <c r="J11" s="170" t="s">
        <v>187</v>
      </c>
      <c r="L11" s="170" t="s">
        <v>178</v>
      </c>
      <c r="M11" s="170" t="s">
        <v>187</v>
      </c>
      <c r="N11" s="170" t="s">
        <v>178</v>
      </c>
      <c r="O11" s="170" t="s">
        <v>187</v>
      </c>
    </row>
    <row r="12" spans="1:15">
      <c r="A12" s="170" t="s">
        <v>188</v>
      </c>
      <c r="B12" s="170" t="s">
        <v>189</v>
      </c>
      <c r="C12" s="170" t="s">
        <v>179</v>
      </c>
      <c r="D12" s="170" t="s">
        <v>190</v>
      </c>
      <c r="G12" s="86" t="s">
        <v>191</v>
      </c>
      <c r="I12" s="375">
        <f>ROUND((L12*8+N12*4)/12,0)</f>
        <v>103</v>
      </c>
      <c r="J12" s="375">
        <f>ROUND((M12*8+O12*4)/12,0)</f>
        <v>532</v>
      </c>
      <c r="L12" s="382">
        <v>103</v>
      </c>
      <c r="M12" s="382">
        <v>532</v>
      </c>
      <c r="N12" s="382">
        <f>L12</f>
        <v>103</v>
      </c>
      <c r="O12" s="382">
        <f>M12</f>
        <v>532</v>
      </c>
    </row>
    <row r="13" ht="26.25" customHeight="1" spans="1:16">
      <c r="A13" s="366"/>
      <c r="B13" s="367">
        <f>B14+B24</f>
        <v>45700000</v>
      </c>
      <c r="C13" s="367">
        <f>C14+C24</f>
        <v>45700000</v>
      </c>
      <c r="D13" s="367">
        <f>D14+D24</f>
        <v>0</v>
      </c>
      <c r="G13" s="86" t="s">
        <v>178</v>
      </c>
      <c r="H13" s="86" t="s">
        <v>187</v>
      </c>
      <c r="M13" s="77" t="s">
        <v>178</v>
      </c>
      <c r="N13" s="77"/>
      <c r="O13" s="77" t="s">
        <v>187</v>
      </c>
      <c r="P13" s="77"/>
    </row>
    <row r="14" s="240" customFormat="1" ht="14.1" customHeight="1" spans="1:16">
      <c r="A14" s="240" t="s">
        <v>192</v>
      </c>
      <c r="B14" s="367">
        <f>SUM(B15:B20)</f>
        <v>35094500</v>
      </c>
      <c r="C14" s="367">
        <f>SUM(C15:C20)</f>
        <v>35094500</v>
      </c>
      <c r="D14" s="367">
        <f>SUM(D15:D18)</f>
        <v>0</v>
      </c>
      <c r="E14" s="368"/>
      <c r="F14" s="368"/>
      <c r="G14" s="368"/>
      <c r="H14" s="368"/>
      <c r="M14" s="7" t="s">
        <v>193</v>
      </c>
      <c r="N14" s="7" t="s">
        <v>194</v>
      </c>
      <c r="O14" s="7" t="s">
        <v>193</v>
      </c>
      <c r="P14" s="7" t="s">
        <v>194</v>
      </c>
    </row>
    <row r="15" ht="14.1" customHeight="1" spans="1:16">
      <c r="A15" s="170">
        <v>211</v>
      </c>
      <c r="B15" s="369">
        <f>26600262+125200+65012</f>
        <v>26790474</v>
      </c>
      <c r="C15" s="100">
        <f>'свод '!C9+'свод '!C34</f>
        <v>26790474</v>
      </c>
      <c r="D15" s="100">
        <f t="shared" ref="D15:D33" si="0">B15-C15</f>
        <v>0</v>
      </c>
      <c r="G15" s="154">
        <f>ROUND(I15*$I$12,2)</f>
        <v>4345541.16</v>
      </c>
      <c r="H15" s="81">
        <f>B15-G15</f>
        <v>22444932.84</v>
      </c>
      <c r="I15" s="154">
        <f>IF(($I$12+$J$12)=0,0,ROUND(B15/($I$12+$J$12),2))</f>
        <v>42189.72</v>
      </c>
      <c r="J15" s="154">
        <f>IF(($I$12+$J$12)=0,0,ROUND(B15/($I$12+$J$12),2))</f>
        <v>42189.72</v>
      </c>
      <c r="M15" s="154">
        <f>ROUND('прил.1+2'!G12/(I12+J12)*I12,2)</f>
        <v>2479056.27</v>
      </c>
      <c r="N15" s="154">
        <f>G15-M15</f>
        <v>1866484.89</v>
      </c>
      <c r="O15" s="154">
        <f>ROUND('прил.1+2'!G12/(I12+J12)*J12,2)</f>
        <v>12804446</v>
      </c>
      <c r="P15" s="154">
        <f>H15-O15</f>
        <v>9640486.84</v>
      </c>
    </row>
    <row r="16" ht="14.1" customHeight="1" spans="1:16">
      <c r="A16" s="170">
        <v>213</v>
      </c>
      <c r="B16" s="369">
        <v>8060945</v>
      </c>
      <c r="C16" s="100">
        <f>'свод '!C10+'свод '!C35-C19-C20</f>
        <v>8060945</v>
      </c>
      <c r="D16" s="100">
        <f t="shared" si="0"/>
        <v>0</v>
      </c>
      <c r="G16" s="154">
        <f t="shared" ref="G16:G18" si="1">ROUND(I16*$I$12,2)</f>
        <v>1307523.2</v>
      </c>
      <c r="H16" s="81">
        <f>(B16+B20+B19)-G16</f>
        <v>6753421.8</v>
      </c>
      <c r="I16" s="154">
        <f>IF(($I$12+$J$12)=0,0,ROUND((B16+B19+B20)/($I$12+$J$12),2))</f>
        <v>12694.4</v>
      </c>
      <c r="J16" s="154">
        <f>IF(($I$12+$J$12)=0,0,ROUND((B16+B19+B20)/($I$12+$J$12),2))</f>
        <v>12694.4</v>
      </c>
      <c r="M16" s="86">
        <f>ROUND(M15*0.302,2)</f>
        <v>748674.99</v>
      </c>
      <c r="N16" s="154">
        <f>G16-M16</f>
        <v>558848.21</v>
      </c>
      <c r="O16" s="86">
        <f>ROUND(O15*0.302,2)</f>
        <v>3866942.69</v>
      </c>
      <c r="P16" s="154">
        <f>H16-O16</f>
        <v>2886479.11</v>
      </c>
    </row>
    <row r="17" ht="14.1" customHeight="1" spans="1:10">
      <c r="A17" s="170">
        <v>226</v>
      </c>
      <c r="B17" s="369">
        <v>41151</v>
      </c>
      <c r="C17" s="100">
        <f>'свод '!C12</f>
        <v>41151</v>
      </c>
      <c r="D17" s="100">
        <f t="shared" si="0"/>
        <v>0</v>
      </c>
      <c r="G17" s="154">
        <f t="shared" si="1"/>
        <v>6674.4</v>
      </c>
      <c r="H17" s="81">
        <f t="shared" ref="H17:H18" si="2">B17-G17</f>
        <v>34476.6</v>
      </c>
      <c r="I17" s="154">
        <f>IF(($I$12+$J$12)=0,0,ROUND(B17/($I$12+$J$12),2))</f>
        <v>64.8</v>
      </c>
      <c r="J17" s="154">
        <f>IF(($I$12+$J$12)=0,0,ROUND(B17/($I$12+$J$12),2))</f>
        <v>64.8</v>
      </c>
    </row>
    <row r="18" ht="14.1" customHeight="1" spans="1:10">
      <c r="A18" s="170">
        <v>346</v>
      </c>
      <c r="B18" s="369">
        <v>201930</v>
      </c>
      <c r="C18" s="100">
        <f>'свод '!C11</f>
        <v>201930</v>
      </c>
      <c r="D18" s="100">
        <f t="shared" si="0"/>
        <v>0</v>
      </c>
      <c r="G18" s="154">
        <f t="shared" si="1"/>
        <v>32754</v>
      </c>
      <c r="H18" s="81">
        <f t="shared" si="2"/>
        <v>169176</v>
      </c>
      <c r="I18" s="154">
        <f>IF(($I$12+$J$12)=0,0,ROUND(B18/($I$12+$J$12),2))</f>
        <v>318</v>
      </c>
      <c r="J18" s="154">
        <f>IF(($I$12+$J$12)=0,0,ROUND(B18/($I$12+$J$12),2))</f>
        <v>318</v>
      </c>
    </row>
    <row r="19" ht="14.1" customHeight="1" spans="1:10">
      <c r="A19" s="170" t="s">
        <v>195</v>
      </c>
      <c r="B19" s="369"/>
      <c r="C19" s="100">
        <f>'прил.1+2'!E22+'прил.1+2'!E69</f>
        <v>0</v>
      </c>
      <c r="D19" s="100">
        <f t="shared" si="0"/>
        <v>0</v>
      </c>
      <c r="G19" s="86" t="s">
        <v>196</v>
      </c>
      <c r="I19" s="154">
        <f>SUM(I15:I18)</f>
        <v>55266.92</v>
      </c>
      <c r="J19" s="154">
        <f>SUM(J15:J18)</f>
        <v>55266.92</v>
      </c>
    </row>
    <row r="20" ht="14.1" customHeight="1" spans="1:4">
      <c r="A20" s="170" t="s">
        <v>197</v>
      </c>
      <c r="B20" s="369"/>
      <c r="C20" s="100">
        <f>'прил.1+2'!E23+'прил.1+2'!E70</f>
        <v>0</v>
      </c>
      <c r="D20" s="100">
        <f t="shared" si="0"/>
        <v>0</v>
      </c>
    </row>
    <row r="21" ht="14.1" customHeight="1" spans="1:11">
      <c r="A21" s="170"/>
      <c r="B21" s="370"/>
      <c r="C21" s="100"/>
      <c r="D21" s="100"/>
      <c r="H21" s="371" t="s">
        <v>101</v>
      </c>
      <c r="I21" s="371"/>
      <c r="J21" s="371"/>
      <c r="K21" s="371"/>
    </row>
    <row r="22" ht="14.1" customHeight="1" spans="1:16">
      <c r="A22" s="170"/>
      <c r="B22" s="370"/>
      <c r="C22" s="100"/>
      <c r="D22" s="100"/>
      <c r="H22" s="372" t="s">
        <v>184</v>
      </c>
      <c r="I22" s="381"/>
      <c r="J22" s="372" t="s">
        <v>198</v>
      </c>
      <c r="K22" s="381"/>
      <c r="M22" s="372" t="s">
        <v>199</v>
      </c>
      <c r="N22" s="381"/>
      <c r="O22" s="372" t="s">
        <v>200</v>
      </c>
      <c r="P22" s="381"/>
    </row>
    <row r="23" ht="14.1" customHeight="1" spans="1:16">
      <c r="A23" s="170"/>
      <c r="B23" s="373"/>
      <c r="C23" s="100"/>
      <c r="D23" s="100"/>
      <c r="H23" s="170" t="s">
        <v>178</v>
      </c>
      <c r="I23" s="170" t="s">
        <v>187</v>
      </c>
      <c r="J23" s="170" t="s">
        <v>178</v>
      </c>
      <c r="K23" s="170" t="s">
        <v>187</v>
      </c>
      <c r="M23" s="170" t="s">
        <v>178</v>
      </c>
      <c r="N23" s="170" t="s">
        <v>187</v>
      </c>
      <c r="O23" s="170" t="s">
        <v>178</v>
      </c>
      <c r="P23" s="170" t="s">
        <v>187</v>
      </c>
    </row>
    <row r="24" ht="14.1" customHeight="1" spans="1:16">
      <c r="A24" s="366" t="s">
        <v>201</v>
      </c>
      <c r="B24" s="374">
        <f>SUM(B25:B35)</f>
        <v>10605500</v>
      </c>
      <c r="C24" s="374">
        <f>SUM(C25:C35)</f>
        <v>10605500</v>
      </c>
      <c r="D24" s="374">
        <f>SUM(D25:D33)</f>
        <v>0</v>
      </c>
      <c r="H24" s="375">
        <f>I12-J24</f>
        <v>103</v>
      </c>
      <c r="I24" s="375">
        <f>J12-K24</f>
        <v>528</v>
      </c>
      <c r="J24" s="375">
        <f>ROUND((M24*8+O24*4)/12,0)</f>
        <v>0</v>
      </c>
      <c r="K24" s="375">
        <f>ROUND((N24*8+P24*4)/12,0)</f>
        <v>4</v>
      </c>
      <c r="M24" s="382">
        <v>0</v>
      </c>
      <c r="N24" s="382">
        <v>4</v>
      </c>
      <c r="O24" s="382">
        <f>M24</f>
        <v>0</v>
      </c>
      <c r="P24" s="382">
        <f>N24</f>
        <v>4</v>
      </c>
    </row>
    <row r="25" ht="14.1" customHeight="1" spans="1:11">
      <c r="A25" s="170" t="s">
        <v>202</v>
      </c>
      <c r="B25" s="376">
        <f>2608910+13902+264439</f>
        <v>2887251</v>
      </c>
      <c r="C25" s="100">
        <f>'свод '!C38</f>
        <v>2887251</v>
      </c>
      <c r="D25" s="100">
        <f>B25-C25</f>
        <v>0</v>
      </c>
      <c r="H25" s="86">
        <f>IF(H$24&lt;=0,0,ROUND($B25/($H$24+$I$24+$J$24+$K$24),2))</f>
        <v>4546.85</v>
      </c>
      <c r="I25" s="86">
        <f>IF(I$24&lt;=0,0,ROUND($B25/($H$24+$I$24+$J$24+$K$24),2))</f>
        <v>4546.85</v>
      </c>
      <c r="J25" s="86">
        <f>IF(J$24&lt;=0,0,ROUND($B25/($H$24+$I$24+$J$24+$K$24),2))</f>
        <v>0</v>
      </c>
      <c r="K25" s="86">
        <f>IF(K$24&lt;=0,0,ROUND($B25/($H$24+$I$24+$J$24+$K$24),2))</f>
        <v>4546.85</v>
      </c>
    </row>
    <row r="26" ht="14.1" customHeight="1" spans="1:11">
      <c r="A26" s="170">
        <v>266</v>
      </c>
      <c r="B26" s="376">
        <v>6000</v>
      </c>
      <c r="C26" s="100">
        <f>'свод '!C31+'свод '!C13</f>
        <v>6000</v>
      </c>
      <c r="D26" s="100">
        <f>B26-C26</f>
        <v>0</v>
      </c>
      <c r="H26" s="86">
        <f>IF(H$24&lt;=0,0,ROUND($B26/($H$24+$I$24+$J$24+$K$24),2))</f>
        <v>9.45</v>
      </c>
      <c r="I26" s="86">
        <f t="shared" ref="I26:K35" si="3">IF(I$24&lt;=0,0,ROUND($B26/($H$24+$I$24+$J$24+$K$24),2))</f>
        <v>9.45</v>
      </c>
      <c r="J26" s="86">
        <f t="shared" si="3"/>
        <v>0</v>
      </c>
      <c r="K26" s="86">
        <f t="shared" si="3"/>
        <v>9.45</v>
      </c>
    </row>
    <row r="27" ht="14.1" customHeight="1" spans="1:11">
      <c r="A27" s="170" t="s">
        <v>203</v>
      </c>
      <c r="B27" s="376">
        <f>787890+4198+79861</f>
        <v>871949</v>
      </c>
      <c r="C27" s="100">
        <f>'свод '!C39-C34-C35</f>
        <v>871949</v>
      </c>
      <c r="D27" s="100">
        <f>B27-C27</f>
        <v>0</v>
      </c>
      <c r="H27" s="86">
        <f>IF(H$24&lt;=0,0,ROUND(($B27+$B34+$B35)/($H$24+$I$24+$J$24+$K$24),2))</f>
        <v>1373.15</v>
      </c>
      <c r="I27" s="86">
        <f t="shared" ref="I27:K27" si="4">IF(I$24&lt;=0,0,ROUND(($B27+$B34+$B35)/($H$24+$I$24+$J$24+$K$24),2))</f>
        <v>1373.15</v>
      </c>
      <c r="J27" s="86">
        <f t="shared" si="4"/>
        <v>0</v>
      </c>
      <c r="K27" s="86">
        <f t="shared" si="4"/>
        <v>1373.15</v>
      </c>
    </row>
    <row r="28" ht="14.1" customHeight="1" spans="1:11">
      <c r="A28" s="170">
        <v>221</v>
      </c>
      <c r="B28" s="376">
        <v>71000</v>
      </c>
      <c r="C28" s="100">
        <f>'свод '!C75</f>
        <v>71000</v>
      </c>
      <c r="D28" s="100">
        <f t="shared" si="0"/>
        <v>0</v>
      </c>
      <c r="H28" s="86">
        <f t="shared" ref="H28:H35" si="5">IF(H$24&lt;=0,0,ROUND($B28/($H$24+$I$24+$J$24+$K$24),2))</f>
        <v>111.81</v>
      </c>
      <c r="I28" s="86">
        <f t="shared" si="3"/>
        <v>111.81</v>
      </c>
      <c r="J28" s="86">
        <f t="shared" si="3"/>
        <v>0</v>
      </c>
      <c r="K28" s="86">
        <f t="shared" si="3"/>
        <v>111.81</v>
      </c>
    </row>
    <row r="29" ht="14.1" customHeight="1" spans="1:11">
      <c r="A29" s="170">
        <v>223</v>
      </c>
      <c r="B29" s="369">
        <v>2511200</v>
      </c>
      <c r="C29" s="385">
        <f>'свод '!C120+'свод '!C128+'свод '!C129+'свод '!C44</f>
        <v>2511200</v>
      </c>
      <c r="D29" s="100">
        <f t="shared" si="0"/>
        <v>0</v>
      </c>
      <c r="H29" s="86">
        <f t="shared" si="5"/>
        <v>3954.65</v>
      </c>
      <c r="I29" s="86">
        <f t="shared" si="3"/>
        <v>3954.65</v>
      </c>
      <c r="J29" s="86">
        <f t="shared" si="3"/>
        <v>0</v>
      </c>
      <c r="K29" s="86">
        <f t="shared" si="3"/>
        <v>3954.65</v>
      </c>
    </row>
    <row r="30" ht="14.1" customHeight="1" spans="1:11">
      <c r="A30" s="170">
        <v>225</v>
      </c>
      <c r="B30" s="369">
        <v>430856</v>
      </c>
      <c r="C30" s="385">
        <f>'свод '!C45+'свод '!C46+'свод '!C47+'свод '!C48+'свод '!C49+'свод '!C50+'свод '!C51+'свод '!C52+'свод '!C53+'свод '!C55+'свод '!C56+'свод '!C57+'свод '!C58+'свод '!C62+'свод '!C67</f>
        <v>430856</v>
      </c>
      <c r="D30" s="100">
        <f t="shared" si="0"/>
        <v>0</v>
      </c>
      <c r="H30" s="86">
        <f t="shared" si="5"/>
        <v>678.51</v>
      </c>
      <c r="I30" s="86">
        <f t="shared" si="3"/>
        <v>678.51</v>
      </c>
      <c r="J30" s="86">
        <f t="shared" si="3"/>
        <v>0</v>
      </c>
      <c r="K30" s="86">
        <f t="shared" si="3"/>
        <v>678.51</v>
      </c>
    </row>
    <row r="31" ht="14.1" customHeight="1" spans="1:11">
      <c r="A31" s="170">
        <v>226</v>
      </c>
      <c r="B31" s="369">
        <v>2437644</v>
      </c>
      <c r="C31" s="385">
        <f>'свод '!C65+'свод '!C66+'свод '!C82+'свод '!C83+'свод '!C84+'свод '!C85+'свод '!C86+'свод '!C87+'свод '!C88+'свод '!C94+'свод '!C90</f>
        <v>2437644</v>
      </c>
      <c r="D31" s="100">
        <f t="shared" si="0"/>
        <v>0</v>
      </c>
      <c r="H31" s="86">
        <f t="shared" si="5"/>
        <v>3838.81</v>
      </c>
      <c r="I31" s="86">
        <f t="shared" si="3"/>
        <v>3838.81</v>
      </c>
      <c r="J31" s="86">
        <f t="shared" si="3"/>
        <v>0</v>
      </c>
      <c r="K31" s="86">
        <f t="shared" si="3"/>
        <v>3838.81</v>
      </c>
    </row>
    <row r="32" ht="14.1" customHeight="1" spans="1:11">
      <c r="A32" s="170">
        <v>291</v>
      </c>
      <c r="B32" s="369">
        <v>1275300</v>
      </c>
      <c r="C32" s="385">
        <f>'свод '!C131-'свод '!C128-'свод '!C129</f>
        <v>1275300</v>
      </c>
      <c r="D32" s="100">
        <f t="shared" si="0"/>
        <v>0</v>
      </c>
      <c r="H32" s="86">
        <f t="shared" si="5"/>
        <v>2008.35</v>
      </c>
      <c r="I32" s="86">
        <f t="shared" si="3"/>
        <v>2008.35</v>
      </c>
      <c r="J32" s="86">
        <f t="shared" si="3"/>
        <v>0</v>
      </c>
      <c r="K32" s="86">
        <f t="shared" si="3"/>
        <v>2008.35</v>
      </c>
    </row>
    <row r="33" ht="45" customHeight="1" spans="1:11">
      <c r="A33" s="252" t="s">
        <v>204</v>
      </c>
      <c r="B33" s="376">
        <f>30000+30000+54300</f>
        <v>114300</v>
      </c>
      <c r="C33" s="100">
        <f>'свод '!C81+'свод '!C101+'свод '!C102+'свод '!C103+'свод '!C104</f>
        <v>114300</v>
      </c>
      <c r="D33" s="100">
        <f t="shared" si="0"/>
        <v>0</v>
      </c>
      <c r="H33" s="86">
        <f t="shared" si="5"/>
        <v>180</v>
      </c>
      <c r="I33" s="86">
        <f t="shared" si="3"/>
        <v>180</v>
      </c>
      <c r="J33" s="86">
        <f t="shared" si="3"/>
        <v>0</v>
      </c>
      <c r="K33" s="86">
        <f t="shared" si="3"/>
        <v>180</v>
      </c>
    </row>
    <row r="34" ht="15" spans="1:11">
      <c r="A34" s="252" t="s">
        <v>205</v>
      </c>
      <c r="B34" s="369"/>
      <c r="C34" s="100">
        <f>'прил.1+2'!E87</f>
        <v>0</v>
      </c>
      <c r="D34" s="100">
        <f t="shared" ref="D34:D35" si="6">B34-C34</f>
        <v>0</v>
      </c>
      <c r="H34" s="86">
        <f t="shared" si="5"/>
        <v>0</v>
      </c>
      <c r="I34" s="86">
        <f t="shared" si="3"/>
        <v>0</v>
      </c>
      <c r="J34" s="86">
        <f t="shared" si="3"/>
        <v>0</v>
      </c>
      <c r="K34" s="86">
        <f t="shared" si="3"/>
        <v>0</v>
      </c>
    </row>
    <row r="35" spans="1:11">
      <c r="A35" s="170" t="s">
        <v>197</v>
      </c>
      <c r="B35" s="376"/>
      <c r="C35" s="100">
        <f>'прил.1+2'!E88</f>
        <v>0</v>
      </c>
      <c r="D35" s="100">
        <f t="shared" si="6"/>
        <v>0</v>
      </c>
      <c r="H35" s="86">
        <f t="shared" si="5"/>
        <v>0</v>
      </c>
      <c r="I35" s="86">
        <f t="shared" si="3"/>
        <v>0</v>
      </c>
      <c r="J35" s="86">
        <f t="shared" si="3"/>
        <v>0</v>
      </c>
      <c r="K35" s="86">
        <f t="shared" si="3"/>
        <v>0</v>
      </c>
    </row>
    <row r="36" ht="25.5" spans="2:11">
      <c r="B36" s="154">
        <f>B25+B26+B27+B28+B29+B30+B31+B32+B33</f>
        <v>10605500</v>
      </c>
      <c r="G36" s="120" t="s">
        <v>196</v>
      </c>
      <c r="H36" s="154">
        <f>SUM(H25:H35)</f>
        <v>16701.58</v>
      </c>
      <c r="I36" s="154">
        <f t="shared" ref="I36:K36" si="7">SUM(I25:I35)</f>
        <v>16701.58</v>
      </c>
      <c r="J36" s="154">
        <f t="shared" si="7"/>
        <v>0</v>
      </c>
      <c r="K36" s="154">
        <f t="shared" si="7"/>
        <v>16701.58</v>
      </c>
    </row>
    <row r="38" ht="51" spans="7:12">
      <c r="G38" s="120" t="s">
        <v>206</v>
      </c>
      <c r="H38" s="386">
        <v>18628.06456</v>
      </c>
      <c r="I38" s="386">
        <v>18628.06456</v>
      </c>
      <c r="J38" s="386"/>
      <c r="K38" s="386">
        <v>18628.06456</v>
      </c>
      <c r="L38" s="154"/>
    </row>
    <row r="39" ht="15" spans="7:11">
      <c r="G39" s="86" t="s">
        <v>207</v>
      </c>
      <c r="H39" s="387">
        <v>0.8965813</v>
      </c>
      <c r="I39" s="387">
        <v>0.8965813</v>
      </c>
      <c r="J39" s="387">
        <v>0</v>
      </c>
      <c r="K39" s="387">
        <v>0.8965813</v>
      </c>
    </row>
    <row r="40" spans="8:12">
      <c r="H40" s="154">
        <f>ROUND(H24*H38*H39,2)</f>
        <v>1720262.16</v>
      </c>
      <c r="I40" s="154">
        <f>ROUND(I24*I38*I39,2)</f>
        <v>8818431.25</v>
      </c>
      <c r="J40" s="154">
        <f t="shared" ref="J40:K40" si="8">ROUND(J24*J38*J39,2)</f>
        <v>0</v>
      </c>
      <c r="K40" s="154">
        <f t="shared" si="8"/>
        <v>66806.3</v>
      </c>
      <c r="L40" s="154">
        <f>SUM(H40:K40)</f>
        <v>10605499.71</v>
      </c>
    </row>
    <row r="41" spans="12:13">
      <c r="L41" s="383">
        <f>B36-L40</f>
        <v>0.28999999910593</v>
      </c>
      <c r="M41" s="384" t="s">
        <v>208</v>
      </c>
    </row>
  </sheetData>
  <mergeCells count="12">
    <mergeCell ref="A2:D2"/>
    <mergeCell ref="G8:K8"/>
    <mergeCell ref="I10:J10"/>
    <mergeCell ref="L10:M10"/>
    <mergeCell ref="N10:O10"/>
    <mergeCell ref="M13:N13"/>
    <mergeCell ref="O13:P13"/>
    <mergeCell ref="H21:K21"/>
    <mergeCell ref="H22:I22"/>
    <mergeCell ref="J22:K22"/>
    <mergeCell ref="M22:N22"/>
    <mergeCell ref="O22:P22"/>
  </mergeCells>
  <pageMargins left="0.7" right="0.7" top="0.75" bottom="0.75" header="0.3" footer="0.3"/>
  <pageSetup paperSize="9" scale="4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41"/>
  <sheetViews>
    <sheetView view="pageBreakPreview" zoomScaleNormal="100" topLeftCell="A11" workbookViewId="0">
      <selection activeCell="H24" sqref="H24:K24"/>
    </sheetView>
  </sheetViews>
  <sheetFormatPr defaultColWidth="9.14285714285714" defaultRowHeight="12.75"/>
  <cols>
    <col min="1" max="1" width="12.1428571428571" style="86" customWidth="1"/>
    <col min="2" max="2" width="15.5714285714286" style="86" customWidth="1"/>
    <col min="3" max="3" width="18.1428571428571" style="86" hidden="1" customWidth="1"/>
    <col min="4" max="4" width="15.1428571428571" style="86" hidden="1" customWidth="1"/>
    <col min="5" max="6" width="9.14285714285714" style="86" hidden="1" customWidth="1"/>
    <col min="7" max="7" width="12.4285714285714" style="86" customWidth="1"/>
    <col min="8" max="8" width="13.5714285714286" style="86" customWidth="1"/>
    <col min="9" max="9" width="12.7142857142857" style="86" customWidth="1"/>
    <col min="10" max="10" width="13.7142857142857" style="86" customWidth="1"/>
    <col min="11" max="11" width="12.5714285714286" style="86" customWidth="1"/>
    <col min="12" max="15" width="14.7142857142857" style="86" customWidth="1"/>
    <col min="16" max="16" width="15.1428571428571" style="86" customWidth="1"/>
    <col min="17" max="16384" width="9.14285714285714" style="86"/>
  </cols>
  <sheetData>
    <row r="2" ht="18.75" spans="1:4">
      <c r="A2" s="363" t="s">
        <v>177</v>
      </c>
      <c r="B2" s="363"/>
      <c r="C2" s="363"/>
      <c r="D2" s="363"/>
    </row>
    <row r="3" spans="8:8">
      <c r="H3" s="86" t="s">
        <v>178</v>
      </c>
    </row>
    <row r="4" spans="7:8">
      <c r="G4" s="86" t="s">
        <v>179</v>
      </c>
      <c r="H4" s="86">
        <v>57928.18</v>
      </c>
    </row>
    <row r="5" spans="7:8">
      <c r="G5" s="86" t="s">
        <v>180</v>
      </c>
      <c r="H5" s="86">
        <v>7555.49</v>
      </c>
    </row>
    <row r="6" ht="25.5" spans="7:8">
      <c r="G6" s="364" t="s">
        <v>182</v>
      </c>
      <c r="H6" s="86">
        <v>37.35</v>
      </c>
    </row>
    <row r="8" ht="29.25" customHeight="1" spans="7:11">
      <c r="G8" s="365" t="s">
        <v>183</v>
      </c>
      <c r="H8" s="365"/>
      <c r="I8" s="365"/>
      <c r="J8" s="365"/>
      <c r="K8" s="365"/>
    </row>
    <row r="9" spans="7:11">
      <c r="G9" s="365"/>
      <c r="H9" s="365"/>
      <c r="K9" s="365"/>
    </row>
    <row r="10" spans="7:15">
      <c r="G10" s="365"/>
      <c r="H10" s="365"/>
      <c r="I10" s="372" t="s">
        <v>184</v>
      </c>
      <c r="J10" s="381"/>
      <c r="K10" s="365"/>
      <c r="L10" s="372" t="s">
        <v>209</v>
      </c>
      <c r="M10" s="381"/>
      <c r="N10" s="372" t="s">
        <v>210</v>
      </c>
      <c r="O10" s="381"/>
    </row>
    <row r="11" spans="8:15">
      <c r="H11" s="116"/>
      <c r="I11" s="170" t="s">
        <v>178</v>
      </c>
      <c r="J11" s="170" t="s">
        <v>187</v>
      </c>
      <c r="L11" s="170" t="s">
        <v>178</v>
      </c>
      <c r="M11" s="170" t="s">
        <v>187</v>
      </c>
      <c r="N11" s="170" t="s">
        <v>178</v>
      </c>
      <c r="O11" s="170" t="s">
        <v>187</v>
      </c>
    </row>
    <row r="12" spans="1:15">
      <c r="A12" s="170" t="s">
        <v>188</v>
      </c>
      <c r="B12" s="170" t="s">
        <v>189</v>
      </c>
      <c r="C12" s="170" t="s">
        <v>179</v>
      </c>
      <c r="D12" s="170" t="s">
        <v>190</v>
      </c>
      <c r="G12" s="86" t="s">
        <v>211</v>
      </c>
      <c r="I12" s="375">
        <f>ROUND((L12*8+N12*4)/12,0)</f>
        <v>103</v>
      </c>
      <c r="J12" s="375">
        <f>ROUND((M12*8+O12*4)/12,0)</f>
        <v>532</v>
      </c>
      <c r="L12" s="382">
        <f>'проверка 2020'!L12</f>
        <v>103</v>
      </c>
      <c r="M12" s="382">
        <f>'проверка 2020'!M12</f>
        <v>532</v>
      </c>
      <c r="N12" s="382">
        <f>'проверка 2020'!N12</f>
        <v>103</v>
      </c>
      <c r="O12" s="382">
        <f>'проверка 2020'!O12</f>
        <v>532</v>
      </c>
    </row>
    <row r="13" ht="26.25" customHeight="1" spans="1:16">
      <c r="A13" s="366"/>
      <c r="B13" s="367">
        <f>B14+B24</f>
        <v>47276200</v>
      </c>
      <c r="C13" s="367">
        <f>C14+C24</f>
        <v>0</v>
      </c>
      <c r="D13" s="367">
        <f>D14+D24</f>
        <v>0</v>
      </c>
      <c r="M13" s="77"/>
      <c r="N13" s="77"/>
      <c r="O13" s="77"/>
      <c r="P13" s="77"/>
    </row>
    <row r="14" s="240" customFormat="1" ht="14.1" customHeight="1" spans="1:16">
      <c r="A14" s="240" t="s">
        <v>192</v>
      </c>
      <c r="B14" s="367">
        <f>SUM(B15:B18)</f>
        <v>36466700</v>
      </c>
      <c r="C14" s="367">
        <f>SUM(C15:C18)</f>
        <v>0</v>
      </c>
      <c r="D14" s="367">
        <f>SUM(D15:D18)</f>
        <v>0</v>
      </c>
      <c r="E14" s="368"/>
      <c r="F14" s="368"/>
      <c r="G14" s="368"/>
      <c r="H14" s="368"/>
      <c r="M14" s="7"/>
      <c r="N14" s="7"/>
      <c r="O14" s="7"/>
      <c r="P14" s="7"/>
    </row>
    <row r="15" ht="14.1" customHeight="1" spans="1:16">
      <c r="A15" s="170">
        <v>211</v>
      </c>
      <c r="B15" s="369">
        <v>27821520</v>
      </c>
      <c r="C15" s="100"/>
      <c r="D15" s="100"/>
      <c r="G15" s="154"/>
      <c r="H15" s="81"/>
      <c r="I15" s="154">
        <f>ROUND(B15/($I$12+$J$12),2)</f>
        <v>43813.42</v>
      </c>
      <c r="J15" s="154">
        <f>ROUND(B15/($I$12+$J$12),2)</f>
        <v>43813.42</v>
      </c>
      <c r="M15" s="154"/>
      <c r="N15" s="154"/>
      <c r="O15" s="154"/>
      <c r="P15" s="154"/>
    </row>
    <row r="16" ht="14.1" customHeight="1" spans="1:16">
      <c r="A16" s="170">
        <v>213</v>
      </c>
      <c r="B16" s="369">
        <v>8402099</v>
      </c>
      <c r="C16" s="100"/>
      <c r="D16" s="100"/>
      <c r="G16" s="154"/>
      <c r="H16" s="81"/>
      <c r="I16" s="154">
        <f t="shared" ref="I16:I18" si="0">ROUND(B16/($I$12+$J$12),2)</f>
        <v>13231.65</v>
      </c>
      <c r="J16" s="154">
        <f t="shared" ref="J16:J18" si="1">ROUND(B16/($I$12+$J$12),2)</f>
        <v>13231.65</v>
      </c>
      <c r="N16" s="154"/>
      <c r="P16" s="154"/>
    </row>
    <row r="17" ht="14.1" customHeight="1" spans="1:10">
      <c r="A17" s="170">
        <v>226</v>
      </c>
      <c r="B17" s="369">
        <v>41151</v>
      </c>
      <c r="C17" s="100"/>
      <c r="D17" s="100"/>
      <c r="G17" s="154"/>
      <c r="H17" s="81"/>
      <c r="I17" s="154">
        <f t="shared" si="0"/>
        <v>64.8</v>
      </c>
      <c r="J17" s="154">
        <f t="shared" si="1"/>
        <v>64.8</v>
      </c>
    </row>
    <row r="18" ht="14.1" customHeight="1" spans="1:10">
      <c r="A18" s="170">
        <v>346</v>
      </c>
      <c r="B18" s="369">
        <v>201930</v>
      </c>
      <c r="C18" s="100"/>
      <c r="D18" s="100"/>
      <c r="G18" s="154"/>
      <c r="H18" s="81"/>
      <c r="I18" s="154">
        <f t="shared" si="0"/>
        <v>318</v>
      </c>
      <c r="J18" s="154">
        <f t="shared" si="1"/>
        <v>318</v>
      </c>
    </row>
    <row r="19" ht="14.1" customHeight="1" spans="1:10">
      <c r="A19" s="170" t="s">
        <v>195</v>
      </c>
      <c r="B19" s="370"/>
      <c r="C19" s="100"/>
      <c r="D19" s="100"/>
      <c r="G19" s="86" t="s">
        <v>196</v>
      </c>
      <c r="I19" s="154">
        <f>SUM(I15:I18)</f>
        <v>57427.87</v>
      </c>
      <c r="J19" s="154">
        <f>SUM(J15:J18)</f>
        <v>57427.87</v>
      </c>
    </row>
    <row r="20" ht="14.1" customHeight="1" spans="1:4">
      <c r="A20" s="170" t="s">
        <v>197</v>
      </c>
      <c r="B20" s="370"/>
      <c r="C20" s="100"/>
      <c r="D20" s="100"/>
    </row>
    <row r="21" ht="14.1" customHeight="1" spans="1:11">
      <c r="A21" s="170"/>
      <c r="B21" s="370"/>
      <c r="C21" s="100"/>
      <c r="D21" s="100"/>
      <c r="H21" s="371" t="s">
        <v>101</v>
      </c>
      <c r="I21" s="371"/>
      <c r="J21" s="371"/>
      <c r="K21" s="371"/>
    </row>
    <row r="22" ht="14.1" customHeight="1" spans="1:16">
      <c r="A22" s="170"/>
      <c r="B22" s="370"/>
      <c r="C22" s="100"/>
      <c r="D22" s="100"/>
      <c r="H22" s="372" t="s">
        <v>184</v>
      </c>
      <c r="I22" s="381"/>
      <c r="J22" s="372" t="s">
        <v>198</v>
      </c>
      <c r="K22" s="381"/>
      <c r="M22" s="372" t="s">
        <v>209</v>
      </c>
      <c r="N22" s="381"/>
      <c r="O22" s="372" t="s">
        <v>210</v>
      </c>
      <c r="P22" s="381"/>
    </row>
    <row r="23" ht="14.1" customHeight="1" spans="1:16">
      <c r="A23" s="170"/>
      <c r="B23" s="373"/>
      <c r="C23" s="100"/>
      <c r="D23" s="100"/>
      <c r="H23" s="170" t="s">
        <v>178</v>
      </c>
      <c r="I23" s="170" t="s">
        <v>187</v>
      </c>
      <c r="J23" s="170" t="s">
        <v>178</v>
      </c>
      <c r="K23" s="170" t="s">
        <v>187</v>
      </c>
      <c r="M23" s="170" t="s">
        <v>178</v>
      </c>
      <c r="N23" s="170" t="s">
        <v>187</v>
      </c>
      <c r="O23" s="170" t="s">
        <v>178</v>
      </c>
      <c r="P23" s="170" t="s">
        <v>187</v>
      </c>
    </row>
    <row r="24" ht="14.1" customHeight="1" spans="1:16">
      <c r="A24" s="366" t="s">
        <v>201</v>
      </c>
      <c r="B24" s="374">
        <f>SUM(B25:B34)</f>
        <v>10809500</v>
      </c>
      <c r="C24" s="374">
        <f>SUM(C25:C34)</f>
        <v>0</v>
      </c>
      <c r="D24" s="374">
        <f>SUM(D25:D34)</f>
        <v>0</v>
      </c>
      <c r="H24" s="375">
        <f>I12-J24</f>
        <v>103</v>
      </c>
      <c r="I24" s="375">
        <f>J12-K24</f>
        <v>528</v>
      </c>
      <c r="J24" s="375">
        <f>ROUND((M24*8+O24*4)/12,0)</f>
        <v>0</v>
      </c>
      <c r="K24" s="375">
        <f>ROUND((N24*8+P24*4)/12,0)</f>
        <v>4</v>
      </c>
      <c r="M24" s="382">
        <f>'проверка 2020'!M24</f>
        <v>0</v>
      </c>
      <c r="N24" s="382">
        <f>'проверка 2020'!N24</f>
        <v>4</v>
      </c>
      <c r="O24" s="382">
        <f>'проверка 2020'!O24</f>
        <v>0</v>
      </c>
      <c r="P24" s="382">
        <f>'проверка 2020'!P24</f>
        <v>4</v>
      </c>
    </row>
    <row r="25" ht="14.1" customHeight="1" spans="1:11">
      <c r="A25" s="170" t="s">
        <v>202</v>
      </c>
      <c r="B25" s="376">
        <f>2706914+264439</f>
        <v>2971353</v>
      </c>
      <c r="C25" s="100"/>
      <c r="D25" s="100"/>
      <c r="H25" s="86">
        <f>IF(H$24&lt;=0,0,ROUND($B25/($H$24+$I$24+$J$24+$K$24),2))</f>
        <v>4679.3</v>
      </c>
      <c r="I25" s="86">
        <f>IF(I$24&lt;=0,0,ROUND($B25/($H$24+$I$24+$J$24+$K$24),2))</f>
        <v>4679.3</v>
      </c>
      <c r="J25" s="86">
        <f>IF(J$24&lt;=0,0,ROUND($B25/($H$24+$I$24+$J$24+$K$24),2))</f>
        <v>0</v>
      </c>
      <c r="K25" s="86">
        <f>IF(K$24&lt;=0,0,ROUND($B25/($H$24+$I$24+$J$24+$K$24),2))</f>
        <v>4679.3</v>
      </c>
    </row>
    <row r="26" ht="14.1" customHeight="1" spans="1:11">
      <c r="A26" s="170">
        <v>266</v>
      </c>
      <c r="B26" s="376">
        <v>6000</v>
      </c>
      <c r="C26" s="100"/>
      <c r="D26" s="100"/>
      <c r="H26" s="86">
        <f t="shared" ref="H26:K35" si="2">IF(H$24&lt;=0,0,ROUND($B26/($H$24+$I$24+$J$24+$K$24),2))</f>
        <v>9.45</v>
      </c>
      <c r="I26" s="86">
        <f t="shared" si="2"/>
        <v>9.45</v>
      </c>
      <c r="J26" s="86">
        <f t="shared" si="2"/>
        <v>0</v>
      </c>
      <c r="K26" s="86">
        <f t="shared" si="2"/>
        <v>9.45</v>
      </c>
    </row>
    <row r="27" ht="14.1" customHeight="1" spans="1:11">
      <c r="A27" s="170" t="s">
        <v>203</v>
      </c>
      <c r="B27" s="376">
        <f>817486+79861</f>
        <v>897347</v>
      </c>
      <c r="C27" s="100"/>
      <c r="D27" s="100"/>
      <c r="H27" s="86">
        <f t="shared" si="2"/>
        <v>1413.14</v>
      </c>
      <c r="I27" s="86">
        <f t="shared" si="2"/>
        <v>1413.14</v>
      </c>
      <c r="J27" s="86">
        <f t="shared" si="2"/>
        <v>0</v>
      </c>
      <c r="K27" s="86">
        <f t="shared" si="2"/>
        <v>1413.14</v>
      </c>
    </row>
    <row r="28" ht="14.1" customHeight="1" spans="1:11">
      <c r="A28" s="170">
        <v>221</v>
      </c>
      <c r="B28" s="376">
        <v>71000</v>
      </c>
      <c r="C28" s="100"/>
      <c r="D28" s="100"/>
      <c r="H28" s="86">
        <f t="shared" si="2"/>
        <v>111.81</v>
      </c>
      <c r="I28" s="86">
        <f t="shared" si="2"/>
        <v>111.81</v>
      </c>
      <c r="J28" s="86">
        <f t="shared" si="2"/>
        <v>0</v>
      </c>
      <c r="K28" s="86">
        <f t="shared" si="2"/>
        <v>111.81</v>
      </c>
    </row>
    <row r="29" ht="14.1" customHeight="1" spans="1:11">
      <c r="A29" s="170">
        <v>223</v>
      </c>
      <c r="B29" s="369">
        <v>2605700</v>
      </c>
      <c r="C29" s="100"/>
      <c r="D29" s="100"/>
      <c r="H29" s="86">
        <f t="shared" si="2"/>
        <v>4103.46</v>
      </c>
      <c r="I29" s="86">
        <f t="shared" si="2"/>
        <v>4103.46</v>
      </c>
      <c r="J29" s="86">
        <f t="shared" si="2"/>
        <v>0</v>
      </c>
      <c r="K29" s="86">
        <f t="shared" si="2"/>
        <v>4103.46</v>
      </c>
    </row>
    <row r="30" ht="14.1" customHeight="1" spans="1:11">
      <c r="A30" s="170">
        <v>225</v>
      </c>
      <c r="B30" s="369">
        <v>412857</v>
      </c>
      <c r="C30" s="100"/>
      <c r="D30" s="100"/>
      <c r="H30" s="86">
        <f t="shared" si="2"/>
        <v>650.17</v>
      </c>
      <c r="I30" s="86">
        <f t="shared" si="2"/>
        <v>650.17</v>
      </c>
      <c r="J30" s="86">
        <f t="shared" si="2"/>
        <v>0</v>
      </c>
      <c r="K30" s="86">
        <f t="shared" si="2"/>
        <v>650.17</v>
      </c>
    </row>
    <row r="31" ht="14.1" customHeight="1" spans="1:11">
      <c r="A31" s="170">
        <v>226</v>
      </c>
      <c r="B31" s="369">
        <v>2455643</v>
      </c>
      <c r="C31" s="100"/>
      <c r="D31" s="100"/>
      <c r="H31" s="86">
        <f t="shared" si="2"/>
        <v>3867.15</v>
      </c>
      <c r="I31" s="86">
        <f t="shared" si="2"/>
        <v>3867.15</v>
      </c>
      <c r="J31" s="86">
        <f t="shared" si="2"/>
        <v>0</v>
      </c>
      <c r="K31" s="86">
        <f t="shared" si="2"/>
        <v>3867.15</v>
      </c>
    </row>
    <row r="32" ht="14.1" customHeight="1" spans="1:11">
      <c r="A32" s="170">
        <v>291</v>
      </c>
      <c r="B32" s="369">
        <v>1275300</v>
      </c>
      <c r="C32" s="100"/>
      <c r="D32" s="100"/>
      <c r="H32" s="86">
        <f t="shared" si="2"/>
        <v>2008.35</v>
      </c>
      <c r="I32" s="86">
        <f t="shared" si="2"/>
        <v>2008.35</v>
      </c>
      <c r="J32" s="86">
        <f t="shared" si="2"/>
        <v>0</v>
      </c>
      <c r="K32" s="86">
        <f t="shared" si="2"/>
        <v>2008.35</v>
      </c>
    </row>
    <row r="33" ht="14.1" customHeight="1" spans="1:4">
      <c r="A33" s="170">
        <v>341</v>
      </c>
      <c r="B33" s="369"/>
      <c r="C33" s="100"/>
      <c r="D33" s="100"/>
    </row>
    <row r="34" ht="55.5" customHeight="1" spans="1:11">
      <c r="A34" s="252" t="s">
        <v>212</v>
      </c>
      <c r="B34" s="376">
        <f>30000+30000+54300</f>
        <v>114300</v>
      </c>
      <c r="C34" s="100"/>
      <c r="D34" s="100"/>
      <c r="H34" s="86">
        <f t="shared" si="2"/>
        <v>180</v>
      </c>
      <c r="I34" s="86">
        <f t="shared" si="2"/>
        <v>180</v>
      </c>
      <c r="J34" s="86">
        <f t="shared" si="2"/>
        <v>0</v>
      </c>
      <c r="K34" s="86">
        <f t="shared" si="2"/>
        <v>180</v>
      </c>
    </row>
    <row r="35" ht="55.5" customHeight="1" spans="1:11">
      <c r="A35" s="170" t="s">
        <v>197</v>
      </c>
      <c r="B35" s="376"/>
      <c r="C35" s="377"/>
      <c r="D35" s="377"/>
      <c r="H35" s="86">
        <f t="shared" si="2"/>
        <v>0</v>
      </c>
      <c r="I35" s="86">
        <f t="shared" si="2"/>
        <v>0</v>
      </c>
      <c r="J35" s="86">
        <f t="shared" si="2"/>
        <v>0</v>
      </c>
      <c r="K35" s="86">
        <f t="shared" si="2"/>
        <v>0</v>
      </c>
    </row>
    <row r="36" ht="25.5" spans="1:11">
      <c r="A36" s="165"/>
      <c r="B36" s="154">
        <f>B25+B26+B27+B28+B29+B30+B31+B32+B33+B34+B35</f>
        <v>10809500</v>
      </c>
      <c r="G36" s="120" t="s">
        <v>196</v>
      </c>
      <c r="H36" s="154">
        <f>SUM(H25:H34)</f>
        <v>17022.83</v>
      </c>
      <c r="I36" s="154">
        <f>SUM(I25:I34)</f>
        <v>17022.83</v>
      </c>
      <c r="J36" s="154">
        <f>SUM(J25:J34)</f>
        <v>0</v>
      </c>
      <c r="K36" s="154">
        <f>SUM(K25:K34)</f>
        <v>17022.83</v>
      </c>
    </row>
    <row r="37" spans="3:3">
      <c r="C37" s="378"/>
    </row>
    <row r="38" ht="51" spans="7:12">
      <c r="G38" s="120" t="s">
        <v>206</v>
      </c>
      <c r="H38" s="379">
        <v>19010.81573</v>
      </c>
      <c r="I38" s="379">
        <v>19010.81573</v>
      </c>
      <c r="J38" s="379"/>
      <c r="K38" s="379">
        <v>19010.81573</v>
      </c>
      <c r="L38" s="154"/>
    </row>
    <row r="39" ht="15" spans="7:11">
      <c r="G39" s="86" t="s">
        <v>207</v>
      </c>
      <c r="H39" s="380">
        <v>0.8954289</v>
      </c>
      <c r="I39" s="380">
        <v>0.8954289</v>
      </c>
      <c r="J39" s="380">
        <v>0</v>
      </c>
      <c r="K39" s="380">
        <v>0.8954289</v>
      </c>
    </row>
    <row r="40" spans="8:12">
      <c r="H40" s="154">
        <f>ROUND(H24*H38*H39,2)</f>
        <v>1753351.88</v>
      </c>
      <c r="I40" s="154">
        <f t="shared" ref="I40:K40" si="3">ROUND(I24*I38*I39,2)</f>
        <v>8988056.26</v>
      </c>
      <c r="J40" s="154">
        <f t="shared" si="3"/>
        <v>0</v>
      </c>
      <c r="K40" s="154">
        <f t="shared" si="3"/>
        <v>68091.34</v>
      </c>
      <c r="L40" s="154">
        <f>SUM(H40:K40)</f>
        <v>10809499.48</v>
      </c>
    </row>
    <row r="41" spans="12:13">
      <c r="L41" s="383">
        <f>B36-L40</f>
        <v>0.519999999552965</v>
      </c>
      <c r="M41" s="384" t="s">
        <v>208</v>
      </c>
    </row>
  </sheetData>
  <mergeCells count="12">
    <mergeCell ref="A2:D2"/>
    <mergeCell ref="G8:K8"/>
    <mergeCell ref="I10:J10"/>
    <mergeCell ref="L10:M10"/>
    <mergeCell ref="N10:O10"/>
    <mergeCell ref="M13:N13"/>
    <mergeCell ref="O13:P13"/>
    <mergeCell ref="H21:K21"/>
    <mergeCell ref="H22:I22"/>
    <mergeCell ref="J22:K22"/>
    <mergeCell ref="M22:N22"/>
    <mergeCell ref="O22:P22"/>
  </mergeCells>
  <pageMargins left="0.7" right="0.7" top="0.75" bottom="0.75" header="0.3" footer="0.3"/>
  <pageSetup paperSize="9" scale="52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41"/>
  <sheetViews>
    <sheetView view="pageBreakPreview" zoomScaleNormal="100" topLeftCell="A21" workbookViewId="0">
      <selection activeCell="H38" sqref="H38:K39"/>
    </sheetView>
  </sheetViews>
  <sheetFormatPr defaultColWidth="9.14285714285714" defaultRowHeight="12.75"/>
  <cols>
    <col min="1" max="1" width="12.1428571428571" style="86" customWidth="1"/>
    <col min="2" max="2" width="15.5714285714286" style="86" customWidth="1"/>
    <col min="3" max="3" width="18.1428571428571" style="86" hidden="1" customWidth="1"/>
    <col min="4" max="4" width="15.1428571428571" style="86" hidden="1" customWidth="1"/>
    <col min="5" max="6" width="9.14285714285714" style="86" hidden="1" customWidth="1"/>
    <col min="7" max="7" width="12.4285714285714" style="86" customWidth="1"/>
    <col min="8" max="8" width="13.5714285714286" style="86" customWidth="1"/>
    <col min="9" max="9" width="16" style="86" customWidth="1"/>
    <col min="10" max="10" width="13.7142857142857" style="86" customWidth="1"/>
    <col min="11" max="11" width="12.5714285714286" style="86" customWidth="1"/>
    <col min="12" max="15" width="14.7142857142857" style="86" customWidth="1"/>
    <col min="16" max="16" width="15.1428571428571" style="86" customWidth="1"/>
    <col min="17" max="16384" width="9.14285714285714" style="86"/>
  </cols>
  <sheetData>
    <row r="2" ht="18.75" spans="1:4">
      <c r="A2" s="363" t="s">
        <v>177</v>
      </c>
      <c r="B2" s="363"/>
      <c r="C2" s="363"/>
      <c r="D2" s="363"/>
    </row>
    <row r="3" spans="8:8">
      <c r="H3" s="86" t="s">
        <v>178</v>
      </c>
    </row>
    <row r="4" spans="7:8">
      <c r="G4" s="86" t="s">
        <v>179</v>
      </c>
      <c r="H4" s="86">
        <v>57928.18</v>
      </c>
    </row>
    <row r="5" spans="7:8">
      <c r="G5" s="86" t="s">
        <v>180</v>
      </c>
      <c r="H5" s="86">
        <v>7555.49</v>
      </c>
    </row>
    <row r="6" ht="25.5" spans="7:8">
      <c r="G6" s="364" t="s">
        <v>182</v>
      </c>
      <c r="H6" s="86">
        <v>37.35</v>
      </c>
    </row>
    <row r="8" ht="29.25" customHeight="1" spans="7:11">
      <c r="G8" s="365" t="s">
        <v>183</v>
      </c>
      <c r="H8" s="365"/>
      <c r="I8" s="365"/>
      <c r="J8" s="365"/>
      <c r="K8" s="365"/>
    </row>
    <row r="9" spans="7:11">
      <c r="G9" s="365"/>
      <c r="H9" s="365"/>
      <c r="K9" s="365"/>
    </row>
    <row r="10" spans="7:15">
      <c r="G10" s="365"/>
      <c r="H10" s="365"/>
      <c r="I10" s="372" t="s">
        <v>184</v>
      </c>
      <c r="J10" s="381"/>
      <c r="K10" s="365"/>
      <c r="L10" s="372" t="s">
        <v>213</v>
      </c>
      <c r="M10" s="381"/>
      <c r="N10" s="372" t="s">
        <v>214</v>
      </c>
      <c r="O10" s="381"/>
    </row>
    <row r="11" spans="8:15">
      <c r="H11" s="116"/>
      <c r="I11" s="170" t="s">
        <v>178</v>
      </c>
      <c r="J11" s="170" t="s">
        <v>187</v>
      </c>
      <c r="L11" s="170" t="s">
        <v>178</v>
      </c>
      <c r="M11" s="170" t="s">
        <v>187</v>
      </c>
      <c r="N11" s="170" t="s">
        <v>178</v>
      </c>
      <c r="O11" s="170" t="s">
        <v>187</v>
      </c>
    </row>
    <row r="12" spans="1:15">
      <c r="A12" s="170" t="s">
        <v>188</v>
      </c>
      <c r="B12" s="170" t="s">
        <v>189</v>
      </c>
      <c r="C12" s="170" t="s">
        <v>179</v>
      </c>
      <c r="D12" s="170" t="s">
        <v>190</v>
      </c>
      <c r="G12" s="86" t="s">
        <v>215</v>
      </c>
      <c r="I12" s="375">
        <f>ROUND((L12*8+N12*4)/12,0)</f>
        <v>103</v>
      </c>
      <c r="J12" s="375">
        <f>ROUND((M12*8+O12*4)/12,0)</f>
        <v>532</v>
      </c>
      <c r="L12" s="382">
        <f>'проверка 2021 '!L12</f>
        <v>103</v>
      </c>
      <c r="M12" s="382">
        <f>'проверка 2021 '!M12</f>
        <v>532</v>
      </c>
      <c r="N12" s="382">
        <f>'проверка 2021 '!N12</f>
        <v>103</v>
      </c>
      <c r="O12" s="382">
        <f>'проверка 2021 '!O12</f>
        <v>532</v>
      </c>
    </row>
    <row r="13" ht="26.25" customHeight="1" spans="1:16">
      <c r="A13" s="366"/>
      <c r="B13" s="367">
        <f>B14+B24</f>
        <v>49010800</v>
      </c>
      <c r="C13" s="367">
        <f>C14+C24</f>
        <v>0</v>
      </c>
      <c r="D13" s="367">
        <f>D14+D24</f>
        <v>0</v>
      </c>
      <c r="M13" s="77"/>
      <c r="N13" s="77"/>
      <c r="O13" s="77"/>
      <c r="P13" s="77"/>
    </row>
    <row r="14" s="240" customFormat="1" ht="14.1" customHeight="1" spans="1:16">
      <c r="A14" s="240" t="s">
        <v>192</v>
      </c>
      <c r="B14" s="367">
        <f>SUM(B15:B18)</f>
        <v>37948200</v>
      </c>
      <c r="C14" s="367">
        <f>SUM(C15:C18)</f>
        <v>0</v>
      </c>
      <c r="D14" s="367">
        <f>SUM(D15:D18)</f>
        <v>0</v>
      </c>
      <c r="E14" s="368"/>
      <c r="F14" s="368"/>
      <c r="G14" s="368"/>
      <c r="H14" s="368"/>
      <c r="M14" s="7"/>
      <c r="N14" s="7"/>
      <c r="O14" s="7"/>
      <c r="P14" s="7"/>
    </row>
    <row r="15" ht="14.1" customHeight="1" spans="1:16">
      <c r="A15" s="170">
        <v>211</v>
      </c>
      <c r="B15" s="369">
        <v>28959385</v>
      </c>
      <c r="C15" s="100"/>
      <c r="D15" s="100"/>
      <c r="G15" s="154"/>
      <c r="H15" s="81"/>
      <c r="I15" s="154">
        <f>ROUND(B15/($I$12+$J$12),2)</f>
        <v>45605.33</v>
      </c>
      <c r="J15" s="154">
        <f>ROUND(B15/($I$12+$J$12),2)</f>
        <v>45605.33</v>
      </c>
      <c r="M15" s="154"/>
      <c r="N15" s="154"/>
      <c r="O15" s="154"/>
      <c r="P15" s="154"/>
    </row>
    <row r="16" ht="14.1" customHeight="1" spans="1:16">
      <c r="A16" s="170">
        <v>213</v>
      </c>
      <c r="B16" s="369">
        <v>8745734</v>
      </c>
      <c r="C16" s="100"/>
      <c r="D16" s="100"/>
      <c r="G16" s="154"/>
      <c r="H16" s="81"/>
      <c r="I16" s="154">
        <f t="shared" ref="I16:I18" si="0">ROUND(B16/($I$12+$J$12),2)</f>
        <v>13772.81</v>
      </c>
      <c r="J16" s="154">
        <f t="shared" ref="J16:J18" si="1">ROUND(B16/($I$12+$J$12),2)</f>
        <v>13772.81</v>
      </c>
      <c r="N16" s="154"/>
      <c r="P16" s="154"/>
    </row>
    <row r="17" ht="14.1" customHeight="1" spans="1:10">
      <c r="A17" s="170">
        <v>226</v>
      </c>
      <c r="B17" s="369">
        <v>41151</v>
      </c>
      <c r="C17" s="100"/>
      <c r="D17" s="100"/>
      <c r="G17" s="154"/>
      <c r="H17" s="81"/>
      <c r="I17" s="154">
        <f t="shared" si="0"/>
        <v>64.8</v>
      </c>
      <c r="J17" s="154">
        <f t="shared" si="1"/>
        <v>64.8</v>
      </c>
    </row>
    <row r="18" ht="14.1" customHeight="1" spans="1:10">
      <c r="A18" s="170">
        <v>346</v>
      </c>
      <c r="B18" s="369">
        <v>201930</v>
      </c>
      <c r="C18" s="100"/>
      <c r="D18" s="100"/>
      <c r="G18" s="154"/>
      <c r="H18" s="81"/>
      <c r="I18" s="154">
        <f t="shared" si="0"/>
        <v>318</v>
      </c>
      <c r="J18" s="154">
        <f t="shared" si="1"/>
        <v>318</v>
      </c>
    </row>
    <row r="19" ht="14.1" customHeight="1" spans="1:10">
      <c r="A19" s="170" t="s">
        <v>195</v>
      </c>
      <c r="B19" s="370"/>
      <c r="C19" s="100"/>
      <c r="D19" s="100"/>
      <c r="G19" s="86" t="s">
        <v>196</v>
      </c>
      <c r="I19" s="154">
        <f>SUM(I15:I18)</f>
        <v>59760.94</v>
      </c>
      <c r="J19" s="154">
        <f>SUM(J15:J18)</f>
        <v>59760.94</v>
      </c>
    </row>
    <row r="20" ht="14.1" customHeight="1" spans="1:4">
      <c r="A20" s="170" t="s">
        <v>197</v>
      </c>
      <c r="B20" s="370"/>
      <c r="C20" s="100"/>
      <c r="D20" s="100"/>
    </row>
    <row r="21" ht="14.1" customHeight="1" spans="1:11">
      <c r="A21" s="170"/>
      <c r="B21" s="370"/>
      <c r="C21" s="100"/>
      <c r="D21" s="100"/>
      <c r="H21" s="371" t="s">
        <v>101</v>
      </c>
      <c r="I21" s="371"/>
      <c r="J21" s="371"/>
      <c r="K21" s="371"/>
    </row>
    <row r="22" ht="14.1" customHeight="1" spans="1:16">
      <c r="A22" s="170"/>
      <c r="B22" s="370"/>
      <c r="C22" s="100"/>
      <c r="D22" s="100"/>
      <c r="H22" s="372" t="s">
        <v>184</v>
      </c>
      <c r="I22" s="381"/>
      <c r="J22" s="372" t="s">
        <v>198</v>
      </c>
      <c r="K22" s="381"/>
      <c r="M22" s="372" t="s">
        <v>213</v>
      </c>
      <c r="N22" s="381"/>
      <c r="O22" s="372" t="s">
        <v>214</v>
      </c>
      <c r="P22" s="381"/>
    </row>
    <row r="23" ht="14.1" customHeight="1" spans="1:16">
      <c r="A23" s="170"/>
      <c r="B23" s="373"/>
      <c r="C23" s="100"/>
      <c r="D23" s="100"/>
      <c r="H23" s="170" t="s">
        <v>178</v>
      </c>
      <c r="I23" s="170" t="s">
        <v>187</v>
      </c>
      <c r="J23" s="170" t="s">
        <v>178</v>
      </c>
      <c r="K23" s="170" t="s">
        <v>187</v>
      </c>
      <c r="M23" s="170" t="s">
        <v>178</v>
      </c>
      <c r="N23" s="170" t="s">
        <v>187</v>
      </c>
      <c r="O23" s="170" t="s">
        <v>178</v>
      </c>
      <c r="P23" s="170" t="s">
        <v>187</v>
      </c>
    </row>
    <row r="24" ht="14.1" customHeight="1" spans="1:16">
      <c r="A24" s="366" t="s">
        <v>201</v>
      </c>
      <c r="B24" s="374">
        <f>SUM(B25:B34)</f>
        <v>11062600</v>
      </c>
      <c r="C24" s="374">
        <f>SUM(C25:C34)</f>
        <v>0</v>
      </c>
      <c r="D24" s="374">
        <f>SUM(D25:D34)</f>
        <v>0</v>
      </c>
      <c r="H24" s="375">
        <f>I12-J24</f>
        <v>103</v>
      </c>
      <c r="I24" s="375">
        <f>J12-K24</f>
        <v>528</v>
      </c>
      <c r="J24" s="375">
        <f>ROUND((M24*8+O24*4)/12,0)</f>
        <v>0</v>
      </c>
      <c r="K24" s="375">
        <f>ROUND((N24*8+P24*4)/12,0)</f>
        <v>4</v>
      </c>
      <c r="M24" s="382">
        <f>'проверка 2021 '!M24</f>
        <v>0</v>
      </c>
      <c r="N24" s="382">
        <f>'проверка 2021 '!N24</f>
        <v>4</v>
      </c>
      <c r="O24" s="382">
        <f>'проверка 2021 '!O24</f>
        <v>0</v>
      </c>
      <c r="P24" s="382">
        <f>'проверка 2021 '!P24</f>
        <v>4</v>
      </c>
    </row>
    <row r="25" ht="14.1" customHeight="1" spans="1:11">
      <c r="A25" s="170" t="s">
        <v>202</v>
      </c>
      <c r="B25" s="376">
        <f>2826039+264439</f>
        <v>3090478</v>
      </c>
      <c r="C25" s="100"/>
      <c r="D25" s="100"/>
      <c r="H25" s="86">
        <f>IF(H$24&lt;=0,0,ROUND($B25/($H$24+$I$24+$J$24+$K$24),2))</f>
        <v>4866.89</v>
      </c>
      <c r="I25" s="86">
        <f>IF(I$24&lt;=0,0,ROUND($B25/($H$24+$I$24+$J$24+$K$24),2))</f>
        <v>4866.89</v>
      </c>
      <c r="J25" s="86">
        <f>IF(J$24&lt;=0,0,ROUND($B25/($H$24+$I$24+$J$24+$K$24),2))</f>
        <v>0</v>
      </c>
      <c r="K25" s="86">
        <f>IF(K$24&lt;=0,0,ROUND($B25/($H$24+$I$24+$J$24+$K$24),2))</f>
        <v>4866.89</v>
      </c>
    </row>
    <row r="26" ht="14.1" customHeight="1" spans="1:11">
      <c r="A26" s="170">
        <v>266</v>
      </c>
      <c r="B26" s="376">
        <v>6000</v>
      </c>
      <c r="C26" s="100"/>
      <c r="D26" s="100"/>
      <c r="H26" s="86">
        <f t="shared" ref="H26:K34" si="2">IF(H$24&lt;=0,0,ROUND($B26/($H$24+$I$24+$J$24+$K$24),2))</f>
        <v>9.45</v>
      </c>
      <c r="I26" s="86">
        <f t="shared" si="2"/>
        <v>9.45</v>
      </c>
      <c r="J26" s="86">
        <f t="shared" si="2"/>
        <v>0</v>
      </c>
      <c r="K26" s="86">
        <f t="shared" si="2"/>
        <v>9.45</v>
      </c>
    </row>
    <row r="27" ht="14.1" customHeight="1" spans="1:11">
      <c r="A27" s="170" t="s">
        <v>203</v>
      </c>
      <c r="B27" s="376">
        <f>853461+79861</f>
        <v>933322</v>
      </c>
      <c r="C27" s="100"/>
      <c r="D27" s="100"/>
      <c r="H27" s="86">
        <f t="shared" si="2"/>
        <v>1469.8</v>
      </c>
      <c r="I27" s="86">
        <f t="shared" si="2"/>
        <v>1469.8</v>
      </c>
      <c r="J27" s="86">
        <f t="shared" si="2"/>
        <v>0</v>
      </c>
      <c r="K27" s="86">
        <f t="shared" si="2"/>
        <v>1469.8</v>
      </c>
    </row>
    <row r="28" ht="14.1" customHeight="1" spans="1:11">
      <c r="A28" s="170">
        <v>221</v>
      </c>
      <c r="B28" s="376">
        <v>71000</v>
      </c>
      <c r="C28" s="100"/>
      <c r="D28" s="100"/>
      <c r="H28" s="86">
        <f t="shared" si="2"/>
        <v>111.81</v>
      </c>
      <c r="I28" s="86">
        <f t="shared" si="2"/>
        <v>111.81</v>
      </c>
      <c r="J28" s="86">
        <f t="shared" si="2"/>
        <v>0</v>
      </c>
      <c r="K28" s="86">
        <f t="shared" si="2"/>
        <v>111.81</v>
      </c>
    </row>
    <row r="29" ht="14.1" customHeight="1" spans="1:11">
      <c r="A29" s="170">
        <v>223</v>
      </c>
      <c r="B29" s="369">
        <v>2703700</v>
      </c>
      <c r="C29" s="100"/>
      <c r="D29" s="100"/>
      <c r="H29" s="86">
        <f t="shared" si="2"/>
        <v>4257.8</v>
      </c>
      <c r="I29" s="86">
        <f t="shared" si="2"/>
        <v>4257.8</v>
      </c>
      <c r="J29" s="86">
        <f t="shared" si="2"/>
        <v>0</v>
      </c>
      <c r="K29" s="86">
        <f t="shared" si="2"/>
        <v>4257.8</v>
      </c>
    </row>
    <row r="30" ht="14.1" customHeight="1" spans="1:11">
      <c r="A30" s="170">
        <v>225</v>
      </c>
      <c r="B30" s="369">
        <v>412857</v>
      </c>
      <c r="C30" s="100"/>
      <c r="D30" s="100"/>
      <c r="H30" s="86">
        <f t="shared" si="2"/>
        <v>650.17</v>
      </c>
      <c r="I30" s="86">
        <f t="shared" si="2"/>
        <v>650.17</v>
      </c>
      <c r="J30" s="86">
        <f t="shared" si="2"/>
        <v>0</v>
      </c>
      <c r="K30" s="86">
        <f t="shared" si="2"/>
        <v>650.17</v>
      </c>
    </row>
    <row r="31" ht="14.1" customHeight="1" spans="1:11">
      <c r="A31" s="170">
        <v>226</v>
      </c>
      <c r="B31" s="369">
        <v>2455643</v>
      </c>
      <c r="C31" s="100"/>
      <c r="D31" s="100"/>
      <c r="H31" s="86">
        <f t="shared" si="2"/>
        <v>3867.15</v>
      </c>
      <c r="I31" s="86">
        <f t="shared" si="2"/>
        <v>3867.15</v>
      </c>
      <c r="J31" s="86">
        <f t="shared" si="2"/>
        <v>0</v>
      </c>
      <c r="K31" s="86">
        <f t="shared" si="2"/>
        <v>3867.15</v>
      </c>
    </row>
    <row r="32" ht="14.1" customHeight="1" spans="1:11">
      <c r="A32" s="170">
        <v>291</v>
      </c>
      <c r="B32" s="369">
        <v>1275300</v>
      </c>
      <c r="C32" s="100"/>
      <c r="D32" s="100"/>
      <c r="H32" s="86">
        <f t="shared" si="2"/>
        <v>2008.35</v>
      </c>
      <c r="I32" s="86">
        <f t="shared" si="2"/>
        <v>2008.35</v>
      </c>
      <c r="J32" s="86">
        <f t="shared" si="2"/>
        <v>0</v>
      </c>
      <c r="K32" s="86">
        <f t="shared" si="2"/>
        <v>2008.35</v>
      </c>
    </row>
    <row r="33" ht="14.1" customHeight="1" spans="1:4">
      <c r="A33" s="170">
        <v>341</v>
      </c>
      <c r="B33" s="369"/>
      <c r="C33" s="100"/>
      <c r="D33" s="100"/>
    </row>
    <row r="34" ht="36.75" customHeight="1" spans="1:11">
      <c r="A34" s="252" t="s">
        <v>212</v>
      </c>
      <c r="B34" s="376">
        <f>30000+30000+54300</f>
        <v>114300</v>
      </c>
      <c r="C34" s="100"/>
      <c r="D34" s="100"/>
      <c r="H34" s="86">
        <f t="shared" si="2"/>
        <v>180</v>
      </c>
      <c r="I34" s="86">
        <f t="shared" si="2"/>
        <v>180</v>
      </c>
      <c r="J34" s="86">
        <f t="shared" si="2"/>
        <v>0</v>
      </c>
      <c r="K34" s="86">
        <f t="shared" si="2"/>
        <v>180</v>
      </c>
    </row>
    <row r="35" ht="36.75" customHeight="1" spans="1:4">
      <c r="A35" s="170" t="s">
        <v>197</v>
      </c>
      <c r="B35" s="376"/>
      <c r="C35" s="377"/>
      <c r="D35" s="377"/>
    </row>
    <row r="36" ht="25.5" spans="2:11">
      <c r="B36" s="154">
        <f>B25+B26+B27+B28+B29+B30+B31+B32+B33+B34+B35</f>
        <v>11062600</v>
      </c>
      <c r="G36" s="120" t="s">
        <v>196</v>
      </c>
      <c r="H36" s="154">
        <f>SUM(H25:H34)</f>
        <v>17421.42</v>
      </c>
      <c r="I36" s="154">
        <f>SUM(I25:I34)</f>
        <v>17421.42</v>
      </c>
      <c r="J36" s="154">
        <f>SUM(J25:J34)</f>
        <v>0</v>
      </c>
      <c r="K36" s="154">
        <f>SUM(K25:K34)</f>
        <v>17421.42</v>
      </c>
    </row>
    <row r="37" spans="3:3">
      <c r="C37" s="378"/>
    </row>
    <row r="38" ht="51" spans="7:12">
      <c r="G38" s="120" t="s">
        <v>206</v>
      </c>
      <c r="H38" s="379">
        <v>19441.08975</v>
      </c>
      <c r="I38" s="379">
        <v>19441.08975</v>
      </c>
      <c r="J38" s="379"/>
      <c r="K38" s="379">
        <v>19441.08975</v>
      </c>
      <c r="L38" s="154"/>
    </row>
    <row r="39" ht="15" spans="7:11">
      <c r="G39" s="86" t="s">
        <v>207</v>
      </c>
      <c r="H39" s="380">
        <v>0.896113</v>
      </c>
      <c r="I39" s="380">
        <v>0.896113</v>
      </c>
      <c r="J39" s="380">
        <v>0</v>
      </c>
      <c r="K39" s="380">
        <v>0.896113</v>
      </c>
    </row>
    <row r="40" spans="8:12">
      <c r="H40" s="154">
        <f>ROUND(H24*H38*H39,2)</f>
        <v>1794405.57</v>
      </c>
      <c r="I40" s="154">
        <f t="shared" ref="I40:K40" si="3">ROUND(I24*I38*I39,2)</f>
        <v>9198506.2</v>
      </c>
      <c r="J40" s="154">
        <f t="shared" si="3"/>
        <v>0</v>
      </c>
      <c r="K40" s="154">
        <f t="shared" si="3"/>
        <v>69685.65</v>
      </c>
      <c r="L40" s="154">
        <f>SUM(H40:K40)</f>
        <v>11062597.42</v>
      </c>
    </row>
    <row r="41" spans="12:13">
      <c r="L41" s="383">
        <f>B36-L40</f>
        <v>2.58000000007451</v>
      </c>
      <c r="M41" s="384" t="s">
        <v>208</v>
      </c>
    </row>
  </sheetData>
  <mergeCells count="12">
    <mergeCell ref="A2:D2"/>
    <mergeCell ref="G8:K8"/>
    <mergeCell ref="I10:J10"/>
    <mergeCell ref="L10:M10"/>
    <mergeCell ref="N10:O10"/>
    <mergeCell ref="M13:N13"/>
    <mergeCell ref="O13:P13"/>
    <mergeCell ref="H21:K21"/>
    <mergeCell ref="H22:I22"/>
    <mergeCell ref="J22:K22"/>
    <mergeCell ref="M22:N22"/>
    <mergeCell ref="O22:P22"/>
  </mergeCells>
  <pageMargins left="0.7" right="0.7" top="0.75" bottom="0.75" header="0.3" footer="0.3"/>
  <pageSetup paperSize="9" scale="5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104"/>
  <sheetViews>
    <sheetView view="pageBreakPreview" zoomScaleNormal="100" topLeftCell="A70" workbookViewId="0">
      <selection activeCell="G79" sqref="G79"/>
    </sheetView>
  </sheetViews>
  <sheetFormatPr defaultColWidth="9.14285714285714" defaultRowHeight="12.75"/>
  <cols>
    <col min="1" max="1" width="2" style="86" customWidth="1"/>
    <col min="2" max="2" width="15.5714285714286" style="86" customWidth="1"/>
    <col min="3" max="3" width="15.2857142857143" style="120" customWidth="1"/>
    <col min="4" max="4" width="14.7142857142857" style="120" customWidth="1"/>
    <col min="5" max="5" width="14" style="120" customWidth="1"/>
    <col min="6" max="6" width="11.7142857142857" style="120" customWidth="1"/>
    <col min="7" max="7" width="12.1428571428571" style="120" customWidth="1"/>
    <col min="8" max="8" width="12" style="120" customWidth="1"/>
    <col min="9" max="9" width="12.8571428571429" style="120" customWidth="1"/>
    <col min="10" max="10" width="10.7142857142857" style="120" customWidth="1"/>
    <col min="11" max="11" width="18.2857142857143" style="120" customWidth="1"/>
    <col min="12" max="12" width="10" style="120" customWidth="1"/>
    <col min="13" max="13" width="12.4285714285714" style="86" customWidth="1"/>
    <col min="14" max="15" width="9.28571428571429" style="86" customWidth="1"/>
    <col min="16" max="16" width="9.14285714285714" style="86"/>
    <col min="17" max="17" width="12.5714285714286" style="86" customWidth="1"/>
    <col min="18" max="18" width="10.1428571428571" style="86" customWidth="1"/>
    <col min="19" max="16384" width="9.14285714285714" style="86"/>
  </cols>
  <sheetData>
    <row r="1" spans="8:9">
      <c r="H1" s="281" t="s">
        <v>216</v>
      </c>
      <c r="I1" s="281"/>
    </row>
    <row r="2" s="279" customFormat="1" ht="35.25" customHeight="1" spans="2:12">
      <c r="B2" s="21" t="s">
        <v>217</v>
      </c>
      <c r="C2" s="21"/>
      <c r="D2" s="21"/>
      <c r="E2" s="21"/>
      <c r="F2" s="21"/>
      <c r="G2" s="21"/>
      <c r="H2" s="21"/>
      <c r="I2" s="329"/>
      <c r="J2" s="330"/>
      <c r="K2" s="330"/>
      <c r="L2" s="330"/>
    </row>
    <row r="3" s="280" customFormat="1" ht="20.25" customHeight="1" spans="3:12">
      <c r="C3" s="282"/>
      <c r="D3" s="282"/>
      <c r="E3" s="282"/>
      <c r="F3" s="282"/>
      <c r="G3" s="282"/>
      <c r="H3" s="282"/>
      <c r="I3" s="282"/>
      <c r="J3" s="292"/>
      <c r="K3" s="292"/>
      <c r="L3" s="292"/>
    </row>
    <row r="4" s="280" customFormat="1" ht="54.75" customHeight="1" spans="2:12">
      <c r="B4" s="283" t="s">
        <v>218</v>
      </c>
      <c r="C4" s="283"/>
      <c r="D4" s="283"/>
      <c r="E4" s="283"/>
      <c r="F4" s="283"/>
      <c r="G4" s="283"/>
      <c r="H4" s="283"/>
      <c r="I4" s="331"/>
      <c r="J4" s="292"/>
      <c r="K4" s="295"/>
      <c r="L4" s="292"/>
    </row>
    <row r="5" s="280" customFormat="1" ht="16.5" spans="2:12">
      <c r="B5" s="283"/>
      <c r="C5" s="283"/>
      <c r="D5" s="283"/>
      <c r="E5" s="283"/>
      <c r="F5" s="283"/>
      <c r="G5" s="283"/>
      <c r="H5" s="283"/>
      <c r="I5" s="331"/>
      <c r="J5" s="292"/>
      <c r="K5" s="292"/>
      <c r="L5" s="292"/>
    </row>
    <row r="6" s="280" customFormat="1" ht="38.25" spans="2:22">
      <c r="B6" s="284" t="s">
        <v>219</v>
      </c>
      <c r="C6" s="91" t="s">
        <v>220</v>
      </c>
      <c r="D6" s="91" t="s">
        <v>221</v>
      </c>
      <c r="E6" s="91" t="s">
        <v>222</v>
      </c>
      <c r="F6" s="91" t="s">
        <v>223</v>
      </c>
      <c r="G6" s="91" t="s">
        <v>179</v>
      </c>
      <c r="H6" s="93" t="s">
        <v>224</v>
      </c>
      <c r="I6" s="292"/>
      <c r="J6" s="292"/>
      <c r="T6" s="349"/>
      <c r="U6" s="349"/>
      <c r="V6" s="349"/>
    </row>
    <row r="7" s="280" customFormat="1" spans="2:22">
      <c r="B7" s="180">
        <f>M11</f>
        <v>47</v>
      </c>
      <c r="C7" s="285">
        <f>P11</f>
        <v>20165.01</v>
      </c>
      <c r="D7" s="285">
        <f>Q11</f>
        <v>1.27674720355572</v>
      </c>
      <c r="E7" s="285">
        <v>1</v>
      </c>
      <c r="F7" s="285">
        <v>1</v>
      </c>
      <c r="G7" s="286">
        <f>ROUND((B7*C7*D7*E7*F7),2)</f>
        <v>1210044.15</v>
      </c>
      <c r="H7" s="287">
        <f>ROUND(G7*30.2%,2)</f>
        <v>365433.33</v>
      </c>
      <c r="I7" s="292"/>
      <c r="J7" s="332" t="s">
        <v>225</v>
      </c>
      <c r="K7" s="332"/>
      <c r="T7" s="349"/>
      <c r="U7" s="349"/>
      <c r="V7" s="349"/>
    </row>
    <row r="8" s="280" customFormat="1" spans="2:22">
      <c r="B8" s="180">
        <f>M26</f>
        <v>47</v>
      </c>
      <c r="C8" s="285">
        <f>P26</f>
        <v>20165.01</v>
      </c>
      <c r="D8" s="285">
        <f>Q26</f>
        <v>1.31519098589305</v>
      </c>
      <c r="E8" s="285">
        <v>6</v>
      </c>
      <c r="F8" s="285">
        <v>1</v>
      </c>
      <c r="G8" s="286">
        <f>ROUND((B8*C8*D8*E8*F8),2)</f>
        <v>7478876.71</v>
      </c>
      <c r="H8" s="287">
        <f>ROUND(G8*30.2%,2)</f>
        <v>2258620.77</v>
      </c>
      <c r="I8" s="292"/>
      <c r="J8" s="332"/>
      <c r="K8" s="332"/>
      <c r="T8" s="349"/>
      <c r="U8" s="349"/>
      <c r="V8" s="349"/>
    </row>
    <row r="9" s="280" customFormat="1" spans="2:22">
      <c r="B9" s="180">
        <f>M15</f>
        <v>47</v>
      </c>
      <c r="C9" s="285">
        <f>P15</f>
        <v>20165.01</v>
      </c>
      <c r="D9" s="285">
        <f>Q15</f>
        <v>1.5789721427473</v>
      </c>
      <c r="E9" s="285">
        <v>1</v>
      </c>
      <c r="F9" s="285">
        <v>1</v>
      </c>
      <c r="G9" s="286">
        <f>ROUND((B9*C9*D9*E9*F9),2)</f>
        <v>1496479.49</v>
      </c>
      <c r="H9" s="287">
        <f>ROUND(G9*30.2%,2)</f>
        <v>451936.81</v>
      </c>
      <c r="I9" s="292"/>
      <c r="J9" s="333"/>
      <c r="K9" s="285"/>
      <c r="L9" s="333" t="s">
        <v>226</v>
      </c>
      <c r="M9" s="333" t="s">
        <v>227</v>
      </c>
      <c r="N9" s="333" t="s">
        <v>228</v>
      </c>
      <c r="O9" s="333" t="s">
        <v>229</v>
      </c>
      <c r="P9" s="333"/>
      <c r="Q9" s="333"/>
      <c r="T9" s="349"/>
      <c r="U9" s="349"/>
      <c r="V9" s="349"/>
    </row>
    <row r="10" s="280" customFormat="1" spans="2:22">
      <c r="B10" s="180">
        <f>M19</f>
        <v>47</v>
      </c>
      <c r="C10" s="285">
        <f>P19</f>
        <v>20165.01</v>
      </c>
      <c r="D10" s="285">
        <f>Q19</f>
        <v>1.31519098589305</v>
      </c>
      <c r="E10" s="285">
        <v>1</v>
      </c>
      <c r="F10" s="285">
        <v>1</v>
      </c>
      <c r="G10" s="286">
        <f>ROUND((B10*C10*D10*E10*F10),2)</f>
        <v>1246479.45</v>
      </c>
      <c r="H10" s="287">
        <f>ROUND(G10*30.2%,2)</f>
        <v>376436.79</v>
      </c>
      <c r="I10" s="292"/>
      <c r="J10" s="334">
        <v>43831</v>
      </c>
      <c r="K10" s="285" t="s">
        <v>230</v>
      </c>
      <c r="L10" s="335">
        <v>2181615</v>
      </c>
      <c r="M10" s="335">
        <v>102.25</v>
      </c>
      <c r="N10" s="333">
        <f>L10-O10</f>
        <v>1712454.73</v>
      </c>
      <c r="O10" s="335">
        <v>469160.27</v>
      </c>
      <c r="P10" s="336"/>
      <c r="Q10" s="333"/>
      <c r="T10" s="349"/>
      <c r="U10" s="349"/>
      <c r="V10" s="349"/>
    </row>
    <row r="11" s="280" customFormat="1" ht="13.5" spans="2:22">
      <c r="B11" s="288">
        <f>M23</f>
        <v>47</v>
      </c>
      <c r="C11" s="289">
        <f>P23</f>
        <v>20769.96</v>
      </c>
      <c r="D11" s="289">
        <f>Q23</f>
        <v>1.3151913360951</v>
      </c>
      <c r="E11" s="289">
        <v>3</v>
      </c>
      <c r="F11" s="289">
        <v>1</v>
      </c>
      <c r="G11" s="290">
        <f>ROUND((B11*C11*D11*E11*F11),2)</f>
        <v>3851622.47</v>
      </c>
      <c r="H11" s="291">
        <f>ROUND(G11*30.2%,2)</f>
        <v>1163189.99</v>
      </c>
      <c r="I11" s="292"/>
      <c r="J11" s="333"/>
      <c r="K11" s="333" t="s">
        <v>231</v>
      </c>
      <c r="L11" s="333">
        <f>N11+O11</f>
        <v>1210043.98</v>
      </c>
      <c r="M11" s="335">
        <v>47</v>
      </c>
      <c r="N11" s="335">
        <v>947755.34</v>
      </c>
      <c r="O11" s="335">
        <v>262288.64</v>
      </c>
      <c r="P11" s="333">
        <f>IF(M11=0,0,ROUND(N11/M11,2))</f>
        <v>20165.01</v>
      </c>
      <c r="Q11" s="333">
        <f>IF(N11=0,0,O11/N11+1)</f>
        <v>1.27674720355572</v>
      </c>
      <c r="T11" s="349"/>
      <c r="U11" s="349"/>
      <c r="V11" s="349"/>
    </row>
    <row r="12" s="280" customFormat="1" ht="13.5" spans="2:22">
      <c r="B12" s="292"/>
      <c r="C12" s="292"/>
      <c r="D12" s="292"/>
      <c r="E12" s="292"/>
      <c r="F12" s="292"/>
      <c r="G12" s="293">
        <f>SUM(G7:G11)</f>
        <v>15283502.27</v>
      </c>
      <c r="H12" s="294">
        <f>SUM(H7:H11)</f>
        <v>4615617.69</v>
      </c>
      <c r="I12" s="292"/>
      <c r="J12" s="333"/>
      <c r="K12" s="333" t="s">
        <v>232</v>
      </c>
      <c r="L12" s="333">
        <f>L10-L11</f>
        <v>971571.02</v>
      </c>
      <c r="M12" s="333">
        <f>M10-M11</f>
        <v>55.25</v>
      </c>
      <c r="N12" s="333">
        <f>N10-N11</f>
        <v>764699.39</v>
      </c>
      <c r="O12" s="333">
        <f>O10-O11</f>
        <v>206871.63</v>
      </c>
      <c r="P12" s="333">
        <f>IF(M12=0,0,ROUND(N12/M12,2))</f>
        <v>13840.71</v>
      </c>
      <c r="Q12" s="333">
        <f>IF(N12=0,0,O12/N12+1)</f>
        <v>1.27052673600276</v>
      </c>
      <c r="T12" s="349"/>
      <c r="U12" s="349"/>
      <c r="V12" s="349"/>
    </row>
    <row r="13" s="280" customFormat="1" spans="3:22">
      <c r="C13" s="292"/>
      <c r="D13" s="292"/>
      <c r="E13" s="292"/>
      <c r="F13" s="292"/>
      <c r="G13" s="292"/>
      <c r="H13" s="295"/>
      <c r="I13" s="292"/>
      <c r="J13" s="285"/>
      <c r="K13" s="333"/>
      <c r="L13" s="333"/>
      <c r="M13" s="333"/>
      <c r="N13" s="333"/>
      <c r="O13" s="333"/>
      <c r="P13" s="333"/>
      <c r="Q13" s="333"/>
      <c r="T13" s="349"/>
      <c r="U13" s="349"/>
      <c r="V13" s="349"/>
    </row>
    <row r="14" s="280" customFormat="1" ht="13.5" spans="3:22">
      <c r="C14" s="292"/>
      <c r="D14" s="292"/>
      <c r="E14" s="292"/>
      <c r="F14" s="292"/>
      <c r="G14" s="292"/>
      <c r="H14" s="292"/>
      <c r="I14" s="292"/>
      <c r="J14" s="334">
        <v>44044</v>
      </c>
      <c r="K14" s="285" t="s">
        <v>230</v>
      </c>
      <c r="L14" s="335">
        <v>2497755</v>
      </c>
      <c r="M14" s="335">
        <v>99.25</v>
      </c>
      <c r="N14" s="333">
        <f>L14-O14</f>
        <v>1676019.5</v>
      </c>
      <c r="O14" s="335">
        <v>821735.5</v>
      </c>
      <c r="P14" s="336"/>
      <c r="Q14" s="333"/>
      <c r="R14" s="280">
        <f>L14-L10</f>
        <v>316140</v>
      </c>
      <c r="T14" s="349"/>
      <c r="U14" s="349"/>
      <c r="V14" s="349"/>
    </row>
    <row r="15" s="280" customFormat="1" ht="101.25" spans="2:22">
      <c r="B15" s="296"/>
      <c r="C15" s="297" t="s">
        <v>233</v>
      </c>
      <c r="D15" s="91" t="s">
        <v>234</v>
      </c>
      <c r="E15" s="91"/>
      <c r="F15" s="298" t="s">
        <v>235</v>
      </c>
      <c r="G15" s="292"/>
      <c r="H15" s="292"/>
      <c r="I15" s="295"/>
      <c r="J15" s="333"/>
      <c r="K15" s="333" t="s">
        <v>231</v>
      </c>
      <c r="L15" s="333">
        <f>N15+O15</f>
        <v>1496479.28</v>
      </c>
      <c r="M15" s="335">
        <v>47</v>
      </c>
      <c r="N15" s="335">
        <v>947755.34</v>
      </c>
      <c r="O15" s="335">
        <f>298723.94+250000</f>
        <v>548723.94</v>
      </c>
      <c r="P15" s="333">
        <f>IF(M15=0,0,ROUND(N15/M15,2))</f>
        <v>20165.01</v>
      </c>
      <c r="Q15" s="333">
        <f>IF(N15=0,0,O15/N15+1)</f>
        <v>1.5789721427473</v>
      </c>
      <c r="T15" s="349"/>
      <c r="U15" s="349"/>
      <c r="V15" s="349"/>
    </row>
    <row r="16" s="280" customFormat="1" spans="2:22">
      <c r="B16" s="299" t="s">
        <v>236</v>
      </c>
      <c r="C16" s="285">
        <f>ROUND(F16/D16,2)</f>
        <v>318</v>
      </c>
      <c r="D16" s="285">
        <f>'проверка 2020'!I12+'проверка 2020'!J12</f>
        <v>635</v>
      </c>
      <c r="E16" s="285"/>
      <c r="F16" s="287">
        <f>'проверка 2020'!B18</f>
        <v>201930</v>
      </c>
      <c r="G16" s="292"/>
      <c r="H16" s="292"/>
      <c r="I16" s="295"/>
      <c r="J16" s="333"/>
      <c r="K16" s="333" t="s">
        <v>232</v>
      </c>
      <c r="L16" s="333">
        <f>L14-L15</f>
        <v>1001275.72</v>
      </c>
      <c r="M16" s="333">
        <f>M14-M15</f>
        <v>52.25</v>
      </c>
      <c r="N16" s="333">
        <f>N14-N15</f>
        <v>728264.16</v>
      </c>
      <c r="O16" s="333">
        <f>O14-O15</f>
        <v>273011.56</v>
      </c>
      <c r="P16" s="333">
        <f>IF(M16=0,0,ROUND(N16/M16,2))</f>
        <v>13938.07</v>
      </c>
      <c r="Q16" s="333">
        <f>IF(N16=0,0,O16/N16+1)</f>
        <v>1.37487985128913</v>
      </c>
      <c r="T16" s="349"/>
      <c r="U16" s="349"/>
      <c r="V16" s="349"/>
    </row>
    <row r="17" s="280" customFormat="1" ht="46.5" customHeight="1" spans="2:22">
      <c r="B17" s="300" t="s">
        <v>237</v>
      </c>
      <c r="C17" s="301">
        <v>37.35</v>
      </c>
      <c r="D17" s="301">
        <f>ROUND(F17/C17,0)</f>
        <v>1102</v>
      </c>
      <c r="E17" s="301"/>
      <c r="F17" s="302">
        <f>'проверка 2020'!B17</f>
        <v>41151</v>
      </c>
      <c r="G17" s="292"/>
      <c r="H17" s="292"/>
      <c r="I17" s="292"/>
      <c r="J17" s="285"/>
      <c r="K17" s="285"/>
      <c r="L17" s="285"/>
      <c r="M17" s="333"/>
      <c r="N17" s="333"/>
      <c r="O17" s="333"/>
      <c r="P17" s="333"/>
      <c r="Q17" s="333"/>
      <c r="T17" s="349"/>
      <c r="U17" s="349"/>
      <c r="V17" s="349"/>
    </row>
    <row r="18" s="280" customFormat="1" spans="3:22">
      <c r="C18" s="292"/>
      <c r="D18" s="292"/>
      <c r="E18" s="292"/>
      <c r="F18" s="292"/>
      <c r="G18" s="292"/>
      <c r="H18" s="292"/>
      <c r="I18" s="292"/>
      <c r="J18" s="334">
        <v>44075</v>
      </c>
      <c r="K18" s="285" t="s">
        <v>230</v>
      </c>
      <c r="L18" s="335">
        <v>2181617</v>
      </c>
      <c r="M18" s="335">
        <v>99.25</v>
      </c>
      <c r="N18" s="333">
        <f>L18-O18</f>
        <v>1676019.43</v>
      </c>
      <c r="O18" s="335">
        <f>505593.57+4</f>
        <v>505597.57</v>
      </c>
      <c r="P18" s="336"/>
      <c r="Q18" s="333"/>
      <c r="T18" s="349"/>
      <c r="U18" s="349"/>
      <c r="V18" s="349"/>
    </row>
    <row r="19" s="280" customFormat="1" spans="3:22">
      <c r="C19" s="292"/>
      <c r="D19" s="292"/>
      <c r="E19" s="292"/>
      <c r="F19" s="292"/>
      <c r="G19" s="292"/>
      <c r="H19" s="292"/>
      <c r="I19" s="292"/>
      <c r="J19" s="333"/>
      <c r="K19" s="333" t="s">
        <v>231</v>
      </c>
      <c r="L19" s="333">
        <f>N19+O19</f>
        <v>1246479.28</v>
      </c>
      <c r="M19" s="335">
        <v>47</v>
      </c>
      <c r="N19" s="335">
        <v>947755.34</v>
      </c>
      <c r="O19" s="335">
        <v>298723.94</v>
      </c>
      <c r="P19" s="333">
        <f>IF(M19=0,0,ROUND(N19/M19,2))</f>
        <v>20165.01</v>
      </c>
      <c r="Q19" s="333">
        <f>IF(N19=0,0,O19/N19+1)</f>
        <v>1.31519098589305</v>
      </c>
      <c r="T19" s="349"/>
      <c r="U19" s="349"/>
      <c r="V19" s="349"/>
    </row>
    <row r="20" s="280" customFormat="1" ht="50.25" customHeight="1" spans="2:22">
      <c r="B20" s="303" t="s">
        <v>238</v>
      </c>
      <c r="C20" s="303"/>
      <c r="D20" s="303"/>
      <c r="E20" s="303"/>
      <c r="F20" s="303"/>
      <c r="G20" s="303"/>
      <c r="H20" s="303"/>
      <c r="I20" s="292"/>
      <c r="J20" s="333"/>
      <c r="K20" s="333" t="s">
        <v>232</v>
      </c>
      <c r="L20" s="333">
        <f>L18-L19</f>
        <v>935137.72</v>
      </c>
      <c r="M20" s="333">
        <f>M18-M19</f>
        <v>52.25</v>
      </c>
      <c r="N20" s="333">
        <f>N18-N19</f>
        <v>728264.09</v>
      </c>
      <c r="O20" s="333">
        <f>O18-O19</f>
        <v>206873.63</v>
      </c>
      <c r="P20" s="333">
        <f>IF(M20=0,0,ROUND(N20/M20,2))</f>
        <v>13938.07</v>
      </c>
      <c r="Q20" s="333">
        <f>IF(N20=0,0,O20/N20+1)</f>
        <v>1.28406402682851</v>
      </c>
      <c r="T20" s="349"/>
      <c r="U20" s="349"/>
      <c r="V20" s="349"/>
    </row>
    <row r="21" s="280" customFormat="1" spans="2:22">
      <c r="B21" s="304" t="s">
        <v>188</v>
      </c>
      <c r="C21" s="305" t="s">
        <v>239</v>
      </c>
      <c r="D21" s="306"/>
      <c r="E21" s="307" t="s">
        <v>240</v>
      </c>
      <c r="F21" s="308"/>
      <c r="G21" s="292"/>
      <c r="H21" s="292"/>
      <c r="I21" s="292"/>
      <c r="J21" s="285"/>
      <c r="K21" s="285"/>
      <c r="L21" s="285"/>
      <c r="M21" s="333"/>
      <c r="N21" s="333"/>
      <c r="O21" s="333"/>
      <c r="P21" s="333"/>
      <c r="Q21" s="333"/>
      <c r="T21" s="349"/>
      <c r="U21" s="349"/>
      <c r="V21" s="349"/>
    </row>
    <row r="22" s="280" customFormat="1" spans="2:22">
      <c r="B22" s="309">
        <v>226</v>
      </c>
      <c r="C22" s="310">
        <f>IF(E22=0,0,ROUND(E22/('проверка 2020'!I12+'проверка 2020'!J12),2))</f>
        <v>0</v>
      </c>
      <c r="D22" s="311"/>
      <c r="E22" s="286"/>
      <c r="F22" s="312"/>
      <c r="G22" s="292"/>
      <c r="H22" s="292"/>
      <c r="I22" s="292"/>
      <c r="J22" s="337">
        <v>44105</v>
      </c>
      <c r="K22" s="285" t="s">
        <v>230</v>
      </c>
      <c r="L22" s="335">
        <v>2247066</v>
      </c>
      <c r="M22" s="335">
        <v>99.25</v>
      </c>
      <c r="N22" s="333">
        <f>L22-O22</f>
        <v>1726300</v>
      </c>
      <c r="O22" s="335">
        <v>520766</v>
      </c>
      <c r="P22" s="333"/>
      <c r="Q22" s="333"/>
      <c r="T22" s="349"/>
      <c r="U22" s="349"/>
      <c r="V22" s="349"/>
    </row>
    <row r="23" s="280" customFormat="1" ht="13.5" spans="2:22">
      <c r="B23" s="313">
        <v>340</v>
      </c>
      <c r="C23" s="314">
        <f>IF(E23=0,0,ROUND(E23/('проверка 2020'!I12+'проверка 2020'!J12),2))</f>
        <v>0</v>
      </c>
      <c r="D23" s="315"/>
      <c r="E23" s="316"/>
      <c r="F23" s="317"/>
      <c r="G23" s="292"/>
      <c r="H23" s="292"/>
      <c r="I23" s="292"/>
      <c r="J23" s="338"/>
      <c r="K23" s="333" t="s">
        <v>231</v>
      </c>
      <c r="L23" s="333">
        <f>O23+N23</f>
        <v>1283874</v>
      </c>
      <c r="M23" s="335">
        <v>47</v>
      </c>
      <c r="N23" s="335">
        <f>ROUND(947755.34*1.03,2)</f>
        <v>976188</v>
      </c>
      <c r="O23" s="335">
        <v>307686</v>
      </c>
      <c r="P23" s="333">
        <f>IF(M23=0,0,ROUND(N23/M23,2))</f>
        <v>20769.96</v>
      </c>
      <c r="Q23" s="333">
        <f>IF(N23=0,0,O23/N23+1)</f>
        <v>1.3151913360951</v>
      </c>
      <c r="T23" s="349"/>
      <c r="U23" s="349"/>
      <c r="V23" s="349"/>
    </row>
    <row r="24" s="280" customFormat="1" spans="3:22">
      <c r="C24" s="292"/>
      <c r="D24" s="292"/>
      <c r="E24" s="292"/>
      <c r="F24" s="292"/>
      <c r="G24" s="292"/>
      <c r="H24" s="292"/>
      <c r="I24" s="292"/>
      <c r="J24" s="338"/>
      <c r="K24" s="333" t="s">
        <v>232</v>
      </c>
      <c r="L24" s="333">
        <f>L22-L23</f>
        <v>963192</v>
      </c>
      <c r="M24" s="333">
        <f>M22-M23</f>
        <v>52.25</v>
      </c>
      <c r="N24" s="333">
        <f>N22-N23</f>
        <v>750112</v>
      </c>
      <c r="O24" s="333">
        <f>O22-O23</f>
        <v>213080</v>
      </c>
      <c r="P24" s="333">
        <f>IF(M24=0,0,ROUND(N24/M24,2))</f>
        <v>14356.21</v>
      </c>
      <c r="Q24" s="333">
        <f>IF(N24=0,0,O24/N24+1)</f>
        <v>1.28406424640587</v>
      </c>
      <c r="T24" s="349"/>
      <c r="U24" s="349"/>
      <c r="V24" s="349"/>
    </row>
    <row r="25" s="280" customFormat="1" spans="2:22">
      <c r="B25" s="7"/>
      <c r="H25" s="7"/>
      <c r="I25" s="292"/>
      <c r="J25" s="334">
        <v>43862</v>
      </c>
      <c r="K25" s="285" t="s">
        <v>230</v>
      </c>
      <c r="L25" s="335">
        <v>2181615</v>
      </c>
      <c r="M25" s="335">
        <v>99.25</v>
      </c>
      <c r="N25" s="333">
        <f>L25-O25</f>
        <v>1676019.43</v>
      </c>
      <c r="O25" s="335">
        <v>505595.57</v>
      </c>
      <c r="P25" s="336"/>
      <c r="Q25" s="333"/>
      <c r="T25" s="349"/>
      <c r="U25" s="349"/>
      <c r="V25" s="349"/>
    </row>
    <row r="26" s="280" customFormat="1" spans="2:22">
      <c r="B26" s="7"/>
      <c r="C26" s="7"/>
      <c r="D26" s="7"/>
      <c r="E26" s="7"/>
      <c r="F26" s="7"/>
      <c r="G26" s="7"/>
      <c r="H26" s="7"/>
      <c r="I26" s="2"/>
      <c r="J26" s="333"/>
      <c r="K26" s="333" t="s">
        <v>231</v>
      </c>
      <c r="L26" s="333">
        <f>N26+O26</f>
        <v>1246479.28</v>
      </c>
      <c r="M26" s="335">
        <v>47</v>
      </c>
      <c r="N26" s="335">
        <v>947755.34</v>
      </c>
      <c r="O26" s="335">
        <v>298723.94</v>
      </c>
      <c r="P26" s="333">
        <f>IF(M26=0,0,ROUND(N26/M26,2))</f>
        <v>20165.01</v>
      </c>
      <c r="Q26" s="333">
        <f>IF(N26=0,0,O26/N26+1)</f>
        <v>1.31519098589305</v>
      </c>
      <c r="T26" s="350"/>
      <c r="U26" s="349"/>
      <c r="V26" s="350"/>
    </row>
    <row r="27" s="280" customFormat="1" ht="49.5" customHeight="1" spans="2:22">
      <c r="B27" s="283" t="s">
        <v>241</v>
      </c>
      <c r="C27" s="283"/>
      <c r="D27" s="283"/>
      <c r="E27" s="283"/>
      <c r="F27" s="283"/>
      <c r="G27" s="283"/>
      <c r="H27" s="283"/>
      <c r="I27" s="2"/>
      <c r="J27" s="333"/>
      <c r="K27" s="333" t="s">
        <v>232</v>
      </c>
      <c r="L27" s="333">
        <f>L25-L26</f>
        <v>935135.72</v>
      </c>
      <c r="M27" s="333">
        <f>M25-M26</f>
        <v>52.25</v>
      </c>
      <c r="N27" s="333">
        <f>N25-N26</f>
        <v>728264.09</v>
      </c>
      <c r="O27" s="333">
        <f>O25-O26</f>
        <v>206871.63</v>
      </c>
      <c r="P27" s="333">
        <f>IF(M27=0,0,ROUND(N27/M27,2))</f>
        <v>13938.07</v>
      </c>
      <c r="Q27" s="333">
        <f>IF(N27=0,0,O27/N27+1)</f>
        <v>1.284061280572</v>
      </c>
      <c r="T27" s="349"/>
      <c r="U27" s="349"/>
      <c r="V27" s="349"/>
    </row>
    <row r="28" s="280" customFormat="1" ht="13.5" spans="2:22">
      <c r="B28" s="86"/>
      <c r="C28" s="120"/>
      <c r="D28" s="120"/>
      <c r="E28" s="120"/>
      <c r="F28" s="120"/>
      <c r="G28" s="120"/>
      <c r="H28" s="120"/>
      <c r="I28" s="2"/>
      <c r="J28" s="285"/>
      <c r="K28" s="333"/>
      <c r="L28" s="333"/>
      <c r="M28" s="333"/>
      <c r="N28" s="333"/>
      <c r="O28" s="333"/>
      <c r="P28" s="333"/>
      <c r="Q28" s="333"/>
      <c r="T28" s="350"/>
      <c r="U28" s="349"/>
      <c r="V28" s="350"/>
    </row>
    <row r="29" s="280" customFormat="1" ht="38.25" spans="2:31">
      <c r="B29" s="284" t="s">
        <v>219</v>
      </c>
      <c r="C29" s="91" t="s">
        <v>220</v>
      </c>
      <c r="D29" s="91" t="s">
        <v>221</v>
      </c>
      <c r="E29" s="91" t="s">
        <v>222</v>
      </c>
      <c r="F29" s="91" t="s">
        <v>223</v>
      </c>
      <c r="G29" s="91" t="s">
        <v>179</v>
      </c>
      <c r="H29" s="93" t="s">
        <v>224</v>
      </c>
      <c r="I29" s="2"/>
      <c r="J29" s="339"/>
      <c r="K29" s="339"/>
      <c r="L29" s="7"/>
      <c r="M29" s="7"/>
      <c r="N29" s="7"/>
      <c r="O29" s="7"/>
      <c r="P29" s="7"/>
      <c r="Q29" s="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="7" customFormat="1" spans="2:84">
      <c r="B30" s="180"/>
      <c r="C30" s="285"/>
      <c r="D30" s="285"/>
      <c r="E30" s="285"/>
      <c r="F30" s="285"/>
      <c r="G30" s="318"/>
      <c r="H30" s="319">
        <f>ROUND(G30*30.2%,2)</f>
        <v>0</v>
      </c>
      <c r="I30" s="2"/>
      <c r="J30" s="339"/>
      <c r="K30" s="339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="7" customFormat="1" spans="2:84">
      <c r="B31" s="180"/>
      <c r="C31" s="285"/>
      <c r="D31" s="285"/>
      <c r="E31" s="285"/>
      <c r="F31" s="285"/>
      <c r="G31" s="318"/>
      <c r="H31" s="319">
        <f>ROUND(G31*30.2%,2)</f>
        <v>0</v>
      </c>
      <c r="I31" s="120"/>
      <c r="J31" s="339"/>
      <c r="K31" s="33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="7" customFormat="1" ht="13.5" spans="2:84">
      <c r="B32" s="288"/>
      <c r="C32" s="320"/>
      <c r="D32" s="289"/>
      <c r="E32" s="301"/>
      <c r="F32" s="301"/>
      <c r="G32" s="321"/>
      <c r="H32" s="322">
        <f>ROUND(G32*30.2%,2)</f>
        <v>0</v>
      </c>
      <c r="I32" s="120"/>
      <c r="J32" s="339"/>
      <c r="K32" s="33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="7" customFormat="1" ht="13.5" spans="2:84">
      <c r="B33" s="292"/>
      <c r="C33" s="292"/>
      <c r="D33" s="292"/>
      <c r="E33" s="292"/>
      <c r="F33" s="292"/>
      <c r="G33" s="323">
        <f>SUM(G30:G32)</f>
        <v>0</v>
      </c>
      <c r="H33" s="324">
        <f>SUM(H30:H32)</f>
        <v>0</v>
      </c>
      <c r="I33" s="120"/>
      <c r="J33" s="339"/>
      <c r="K33" s="33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="7" customFormat="1" spans="2:84">
      <c r="B34" s="325"/>
      <c r="C34" s="325"/>
      <c r="D34" s="325"/>
      <c r="E34" s="325"/>
      <c r="F34" s="325"/>
      <c r="G34" s="326"/>
      <c r="H34" s="326"/>
      <c r="I34" s="84"/>
      <c r="J34" s="339"/>
      <c r="K34" s="33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="7" customFormat="1" ht="13.5" spans="2:84">
      <c r="B35" s="325"/>
      <c r="C35" s="325"/>
      <c r="D35" s="325"/>
      <c r="E35" s="325"/>
      <c r="F35" s="325"/>
      <c r="G35" s="326"/>
      <c r="H35" s="326"/>
      <c r="I35" s="84"/>
      <c r="J35" s="339"/>
      <c r="K35" s="33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="7" customFormat="1" ht="89.25" spans="2:84">
      <c r="B36" s="284" t="s">
        <v>242</v>
      </c>
      <c r="C36" s="91" t="s">
        <v>243</v>
      </c>
      <c r="D36" s="91" t="s">
        <v>222</v>
      </c>
      <c r="E36" s="93" t="s">
        <v>244</v>
      </c>
      <c r="F36" s="325"/>
      <c r="G36" s="326"/>
      <c r="H36" s="326"/>
      <c r="I36" s="84"/>
      <c r="J36" s="339"/>
      <c r="K36" s="33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="7" customFormat="1" spans="2:84">
      <c r="B37" s="180"/>
      <c r="C37" s="285"/>
      <c r="D37" s="285"/>
      <c r="E37" s="312"/>
      <c r="F37" s="325"/>
      <c r="G37" s="326"/>
      <c r="H37" s="326"/>
      <c r="I37" s="84"/>
      <c r="J37" s="339"/>
      <c r="K37" s="33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="7" customFormat="1" ht="13.5" spans="2:84">
      <c r="B38" s="175">
        <v>50</v>
      </c>
      <c r="C38" s="301">
        <v>7</v>
      </c>
      <c r="D38" s="301">
        <v>12</v>
      </c>
      <c r="E38" s="317">
        <f>B38*C38*D38</f>
        <v>4200</v>
      </c>
      <c r="F38" s="325"/>
      <c r="G38" s="326"/>
      <c r="H38" s="326"/>
      <c r="I38" s="84"/>
      <c r="J38" s="340" t="s">
        <v>245</v>
      </c>
      <c r="K38" s="341"/>
      <c r="L38" s="333" t="s">
        <v>226</v>
      </c>
      <c r="M38" s="333" t="s">
        <v>227</v>
      </c>
      <c r="N38" s="333" t="s">
        <v>228</v>
      </c>
      <c r="O38" s="333" t="s">
        <v>229</v>
      </c>
      <c r="P38" s="342"/>
      <c r="Q38" s="35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="7" customFormat="1" spans="2:84">
      <c r="B39" s="325"/>
      <c r="C39" s="325"/>
      <c r="D39" s="325"/>
      <c r="E39" s="325"/>
      <c r="F39" s="325"/>
      <c r="G39" s="326"/>
      <c r="H39" s="326"/>
      <c r="I39" s="84"/>
      <c r="J39" s="337">
        <v>43831</v>
      </c>
      <c r="K39" s="285" t="s">
        <v>230</v>
      </c>
      <c r="L39" s="343">
        <v>215888.99</v>
      </c>
      <c r="M39" s="335">
        <v>21.9</v>
      </c>
      <c r="N39" s="333">
        <f>L39-O39</f>
        <v>212481.71</v>
      </c>
      <c r="O39" s="335">
        <v>3407.28</v>
      </c>
      <c r="P39" s="333"/>
      <c r="Q39" s="33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="7" customFormat="1" spans="2:84">
      <c r="B40" s="325"/>
      <c r="C40" s="325"/>
      <c r="D40" s="325"/>
      <c r="E40" s="325"/>
      <c r="F40" s="325"/>
      <c r="G40" s="326"/>
      <c r="H40" s="326"/>
      <c r="I40" s="84"/>
      <c r="J40" s="338"/>
      <c r="K40" s="333" t="s">
        <v>231</v>
      </c>
      <c r="L40" s="333">
        <f>O40+N40</f>
        <v>0</v>
      </c>
      <c r="M40" s="335"/>
      <c r="N40" s="335"/>
      <c r="O40" s="335"/>
      <c r="P40" s="333">
        <f>IF(M40=0,0,ROUND(N40/M40,2))</f>
        <v>0</v>
      </c>
      <c r="Q40" s="333">
        <f>IF(N40=0,0,O40/N40+1)</f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="7" customFormat="1" spans="2:84">
      <c r="B41" s="325"/>
      <c r="C41" s="325"/>
      <c r="D41" s="325"/>
      <c r="E41" s="325"/>
      <c r="F41" s="325"/>
      <c r="G41" s="326"/>
      <c r="H41" s="326"/>
      <c r="I41" s="84"/>
      <c r="J41" s="344">
        <v>44105</v>
      </c>
      <c r="K41" s="333" t="s">
        <v>232</v>
      </c>
      <c r="L41" s="333">
        <f>L39-L40</f>
        <v>215888.99</v>
      </c>
      <c r="M41" s="333">
        <f>M39-M40</f>
        <v>21.9</v>
      </c>
      <c r="N41" s="333">
        <f>N39-N40</f>
        <v>212481.71</v>
      </c>
      <c r="O41" s="333">
        <f>O39-O40</f>
        <v>3407.28</v>
      </c>
      <c r="P41" s="333">
        <f>IF(M41=0,0,ROUND(N41/M41,2))</f>
        <v>9702.36</v>
      </c>
      <c r="Q41" s="333">
        <f>IF(N41=0,0,O41/N41+1)</f>
        <v>1.01603563902041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="7" customFormat="1" spans="2:84">
      <c r="B42" s="325"/>
      <c r="C42" s="325"/>
      <c r="D42" s="325"/>
      <c r="E42" s="325"/>
      <c r="F42" s="325"/>
      <c r="G42" s="326"/>
      <c r="H42" s="326"/>
      <c r="I42" s="84"/>
      <c r="J42" s="345" t="s">
        <v>245</v>
      </c>
      <c r="K42" s="345"/>
      <c r="L42" s="333" t="s">
        <v>226</v>
      </c>
      <c r="M42" s="333" t="s">
        <v>227</v>
      </c>
      <c r="N42" s="333" t="s">
        <v>228</v>
      </c>
      <c r="O42" s="333" t="s">
        <v>229</v>
      </c>
      <c r="P42" s="342"/>
      <c r="Q42" s="35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="7" customFormat="1" spans="2:84">
      <c r="B43" s="325"/>
      <c r="C43" s="325"/>
      <c r="D43" s="325"/>
      <c r="E43" s="325"/>
      <c r="F43" s="325"/>
      <c r="G43" s="326"/>
      <c r="H43" s="326"/>
      <c r="I43" s="84"/>
      <c r="J43" s="337"/>
      <c r="K43" s="285" t="s">
        <v>230</v>
      </c>
      <c r="L43" s="343">
        <v>221969.81</v>
      </c>
      <c r="M43" s="335">
        <v>21.9</v>
      </c>
      <c r="N43" s="333">
        <f>L43-O43</f>
        <v>218856.15</v>
      </c>
      <c r="O43" s="343">
        <v>3113.66</v>
      </c>
      <c r="P43" s="333"/>
      <c r="Q43" s="333"/>
      <c r="R43" s="352">
        <f>L43-L39</f>
        <v>6080.82000000001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="7" customFormat="1" spans="2:84">
      <c r="B44" s="325"/>
      <c r="C44" s="325"/>
      <c r="D44" s="325"/>
      <c r="E44" s="325"/>
      <c r="F44" s="325"/>
      <c r="G44" s="326"/>
      <c r="H44" s="326"/>
      <c r="I44" s="84"/>
      <c r="J44" s="338"/>
      <c r="K44" s="333" t="s">
        <v>231</v>
      </c>
      <c r="L44" s="333">
        <f>O44+N44</f>
        <v>0</v>
      </c>
      <c r="M44" s="335"/>
      <c r="N44" s="335"/>
      <c r="O44" s="335"/>
      <c r="P44" s="333">
        <f>IF(M44=0,0,ROUND(N44/M44,2))</f>
        <v>0</v>
      </c>
      <c r="Q44" s="333">
        <f>IF(N44=0,0,O44/N44+1)</f>
        <v>0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="7" customFormat="1" spans="2:17">
      <c r="B45" s="325"/>
      <c r="C45" s="292"/>
      <c r="D45" s="292"/>
      <c r="E45" s="292"/>
      <c r="F45" s="292"/>
      <c r="G45" s="292"/>
      <c r="H45" s="325"/>
      <c r="I45" s="84"/>
      <c r="J45" s="338"/>
      <c r="K45" s="333" t="s">
        <v>232</v>
      </c>
      <c r="L45" s="333">
        <f>L43-L44</f>
        <v>221969.81</v>
      </c>
      <c r="M45" s="333">
        <f>M43-M44</f>
        <v>21.9</v>
      </c>
      <c r="N45" s="333">
        <f>N43-N44</f>
        <v>218856.15</v>
      </c>
      <c r="O45" s="333">
        <f>O43-O44</f>
        <v>3113.66</v>
      </c>
      <c r="P45" s="333">
        <f>IF(M45=0,0,ROUND(N45/M45,2))</f>
        <v>9993.43</v>
      </c>
      <c r="Q45" s="333">
        <f>IF(N45=0,0,O45/N45+1)</f>
        <v>1.01422697054664</v>
      </c>
    </row>
    <row r="46" s="7" customFormat="1" spans="2:17">
      <c r="B46" s="327" t="s">
        <v>246</v>
      </c>
      <c r="C46" s="117"/>
      <c r="D46" s="118"/>
      <c r="E46" s="77" t="s">
        <v>247</v>
      </c>
      <c r="F46" s="119"/>
      <c r="G46" s="119"/>
      <c r="H46" s="325"/>
      <c r="I46" s="84"/>
      <c r="J46" s="345" t="s">
        <v>245</v>
      </c>
      <c r="K46" s="345"/>
      <c r="L46" s="333" t="s">
        <v>226</v>
      </c>
      <c r="M46" s="333" t="s">
        <v>227</v>
      </c>
      <c r="N46" s="333" t="s">
        <v>228</v>
      </c>
      <c r="O46" s="333" t="s">
        <v>229</v>
      </c>
      <c r="P46" s="342"/>
      <c r="Q46" s="351"/>
    </row>
    <row r="47" s="7" customFormat="1" spans="8:17">
      <c r="H47" s="325"/>
      <c r="I47" s="84"/>
      <c r="J47" s="337"/>
      <c r="K47" s="285" t="s">
        <v>230</v>
      </c>
      <c r="L47" s="343"/>
      <c r="M47" s="335"/>
      <c r="N47" s="333">
        <f>L47-O47</f>
        <v>0</v>
      </c>
      <c r="O47" s="335"/>
      <c r="P47" s="333"/>
      <c r="Q47" s="333"/>
    </row>
    <row r="48" s="7" customFormat="1" spans="8:17">
      <c r="H48" s="325"/>
      <c r="I48" s="84"/>
      <c r="J48" s="338"/>
      <c r="K48" s="333" t="s">
        <v>248</v>
      </c>
      <c r="L48" s="333">
        <f>O48+N48</f>
        <v>0</v>
      </c>
      <c r="M48" s="335"/>
      <c r="N48" s="335"/>
      <c r="O48" s="335"/>
      <c r="P48" s="333">
        <f>IF(M48=0,0,ROUND(N48/M48,2))</f>
        <v>0</v>
      </c>
      <c r="Q48" s="333">
        <f>IF(N48=0,0,O48/N48+1)</f>
        <v>0</v>
      </c>
    </row>
    <row r="49" s="7" customFormat="1" spans="2:17">
      <c r="B49" s="7" t="s">
        <v>249</v>
      </c>
      <c r="C49" s="117"/>
      <c r="D49" s="117"/>
      <c r="E49" s="77" t="s">
        <v>250</v>
      </c>
      <c r="F49" s="119"/>
      <c r="G49" s="119"/>
      <c r="H49" s="325"/>
      <c r="I49" s="84"/>
      <c r="J49" s="338"/>
      <c r="K49" s="333" t="s">
        <v>232</v>
      </c>
      <c r="L49" s="333">
        <f>L47-L48</f>
        <v>0</v>
      </c>
      <c r="M49" s="333">
        <f>M47-M48</f>
        <v>0</v>
      </c>
      <c r="N49" s="333">
        <f>N47-N48</f>
        <v>0</v>
      </c>
      <c r="O49" s="333">
        <f>O47-O48</f>
        <v>0</v>
      </c>
      <c r="P49" s="333">
        <f>IF(M49=0,0,ROUND(N49/M49,2))</f>
        <v>0</v>
      </c>
      <c r="Q49" s="333">
        <f>IF(N49=0,0,O49/N49+1)</f>
        <v>0</v>
      </c>
    </row>
    <row r="50" s="7" customFormat="1" spans="2:17">
      <c r="B50" s="325"/>
      <c r="H50" s="325"/>
      <c r="I50" s="84"/>
      <c r="J50" s="346"/>
      <c r="K50" s="347"/>
      <c r="L50" s="347"/>
      <c r="M50" s="347"/>
      <c r="N50" s="347"/>
      <c r="O50" s="347"/>
      <c r="P50" s="347"/>
      <c r="Q50" s="347"/>
    </row>
    <row r="51" s="7" customFormat="1" spans="2:17">
      <c r="B51" s="325"/>
      <c r="C51" s="325"/>
      <c r="D51" s="325"/>
      <c r="E51" s="325"/>
      <c r="F51" s="325"/>
      <c r="G51" s="325"/>
      <c r="H51" s="325"/>
      <c r="I51" s="84"/>
      <c r="J51" s="346"/>
      <c r="K51" s="347"/>
      <c r="L51" s="347"/>
      <c r="M51" s="347"/>
      <c r="N51" s="347"/>
      <c r="O51" s="347"/>
      <c r="P51" s="347"/>
      <c r="Q51" s="347"/>
    </row>
    <row r="52" s="7" customFormat="1" spans="2:31">
      <c r="B52" s="325"/>
      <c r="C52" s="325"/>
      <c r="D52" s="325"/>
      <c r="E52" s="325"/>
      <c r="F52" s="325"/>
      <c r="G52" s="325"/>
      <c r="H52" s="325"/>
      <c r="I52" s="84"/>
      <c r="J52" s="346"/>
      <c r="K52" s="347"/>
      <c r="L52" s="347"/>
      <c r="M52" s="347"/>
      <c r="N52" s="347"/>
      <c r="O52" s="347"/>
      <c r="P52" s="347"/>
      <c r="Q52" s="347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</row>
    <row r="53" ht="18.75" spans="2:17">
      <c r="B53" s="21"/>
      <c r="C53" s="21"/>
      <c r="D53" s="21"/>
      <c r="E53" s="21"/>
      <c r="F53" s="21"/>
      <c r="G53" s="21"/>
      <c r="H53" s="21"/>
      <c r="J53" s="346"/>
      <c r="K53" s="347"/>
      <c r="L53" s="347"/>
      <c r="M53" s="347"/>
      <c r="N53" s="347"/>
      <c r="O53" s="347"/>
      <c r="P53" s="347"/>
      <c r="Q53" s="347"/>
    </row>
    <row r="54" spans="2:17">
      <c r="B54" s="120"/>
      <c r="G54" s="281" t="s">
        <v>251</v>
      </c>
      <c r="H54" s="281"/>
      <c r="J54" s="346"/>
      <c r="K54" s="347"/>
      <c r="L54" s="347"/>
      <c r="M54" s="347"/>
      <c r="N54" s="347"/>
      <c r="O54" s="347"/>
      <c r="P54" s="347"/>
      <c r="Q54" s="347"/>
    </row>
    <row r="55" ht="48" customHeight="1" spans="2:17">
      <c r="B55" s="21" t="s">
        <v>252</v>
      </c>
      <c r="C55" s="21"/>
      <c r="D55" s="21"/>
      <c r="E55" s="21"/>
      <c r="F55" s="21"/>
      <c r="G55" s="21"/>
      <c r="H55" s="21"/>
      <c r="J55" s="346"/>
      <c r="K55" s="347"/>
      <c r="L55" s="347"/>
      <c r="M55" s="347"/>
      <c r="N55" s="347"/>
      <c r="O55" s="347"/>
      <c r="P55" s="347"/>
      <c r="Q55" s="347"/>
    </row>
    <row r="56" ht="54.75" customHeight="1" spans="2:11">
      <c r="B56" s="328" t="s">
        <v>253</v>
      </c>
      <c r="C56" s="328"/>
      <c r="D56" s="328"/>
      <c r="E56" s="328"/>
      <c r="F56" s="328"/>
      <c r="G56" s="328"/>
      <c r="H56" s="328"/>
      <c r="K56" s="348"/>
    </row>
    <row r="57" ht="38.25" spans="2:11">
      <c r="B57" s="284" t="s">
        <v>254</v>
      </c>
      <c r="C57" s="91" t="s">
        <v>220</v>
      </c>
      <c r="D57" s="91" t="s">
        <v>221</v>
      </c>
      <c r="E57" s="91" t="s">
        <v>222</v>
      </c>
      <c r="F57" s="91" t="s">
        <v>223</v>
      </c>
      <c r="G57" s="91" t="s">
        <v>179</v>
      </c>
      <c r="H57" s="93" t="s">
        <v>224</v>
      </c>
      <c r="K57" s="348"/>
    </row>
    <row r="58" spans="2:11">
      <c r="B58" s="180">
        <f>M12</f>
        <v>55.25</v>
      </c>
      <c r="C58" s="285">
        <f>P12</f>
        <v>13840.71</v>
      </c>
      <c r="D58" s="285">
        <f>Q12</f>
        <v>1.27052673600276</v>
      </c>
      <c r="E58" s="285">
        <v>1</v>
      </c>
      <c r="F58" s="285">
        <v>1</v>
      </c>
      <c r="G58" s="286">
        <f>ROUND((B58*C58*D58*E58*F58),2)</f>
        <v>971570.81</v>
      </c>
      <c r="H58" s="287">
        <f>ROUND(G58*30.2%,2)</f>
        <v>293414.38</v>
      </c>
      <c r="K58" s="348"/>
    </row>
    <row r="59" spans="2:11">
      <c r="B59" s="180">
        <f>M27</f>
        <v>52.25</v>
      </c>
      <c r="C59" s="285">
        <f>P27</f>
        <v>13938.07</v>
      </c>
      <c r="D59" s="285">
        <f>Q27</f>
        <v>1.284061280572</v>
      </c>
      <c r="E59" s="285">
        <v>6</v>
      </c>
      <c r="F59" s="285">
        <v>1</v>
      </c>
      <c r="G59" s="286">
        <f>ROUND((B59*C59*D59*E59*F59),2)</f>
        <v>5610814.84</v>
      </c>
      <c r="H59" s="287">
        <f>ROUND(G59*30.2%,2)</f>
        <v>1694466.08</v>
      </c>
      <c r="K59" s="348"/>
    </row>
    <row r="60" spans="2:11">
      <c r="B60" s="180">
        <f>M16</f>
        <v>52.25</v>
      </c>
      <c r="C60" s="285">
        <f>P16</f>
        <v>13938.07</v>
      </c>
      <c r="D60" s="285">
        <f>Q16</f>
        <v>1.37487985128913</v>
      </c>
      <c r="E60" s="285">
        <v>1</v>
      </c>
      <c r="F60" s="285">
        <v>1</v>
      </c>
      <c r="G60" s="286">
        <f>ROUND((B60*C60*D60*E60*F60),2)</f>
        <v>1001275.72</v>
      </c>
      <c r="H60" s="287">
        <f>ROUND(G60*30.2%,2)</f>
        <v>302385.27</v>
      </c>
      <c r="K60" s="348"/>
    </row>
    <row r="61" spans="2:11">
      <c r="B61" s="180">
        <f>M20</f>
        <v>52.25</v>
      </c>
      <c r="C61" s="285">
        <f>P20</f>
        <v>13938.07</v>
      </c>
      <c r="D61" s="285">
        <f>Q20</f>
        <v>1.28406402682851</v>
      </c>
      <c r="E61" s="285">
        <v>1</v>
      </c>
      <c r="F61" s="285">
        <v>1</v>
      </c>
      <c r="G61" s="286">
        <f>ROUND((B61*C61*D61*E61*F61),2)</f>
        <v>935137.81</v>
      </c>
      <c r="H61" s="287">
        <f>ROUND(G61*30.2%,2)</f>
        <v>282411.62</v>
      </c>
      <c r="K61" s="348"/>
    </row>
    <row r="62" spans="2:8">
      <c r="B62" s="180">
        <f>M24</f>
        <v>52.25</v>
      </c>
      <c r="C62" s="285">
        <f>P24</f>
        <v>14356.21</v>
      </c>
      <c r="D62" s="285">
        <f>Q24</f>
        <v>1.28406424640587</v>
      </c>
      <c r="E62" s="285">
        <v>3</v>
      </c>
      <c r="F62" s="285">
        <v>1</v>
      </c>
      <c r="G62" s="286">
        <f>ROUND((B62*C62*D62*E62*F62),2)-4.34</f>
        <v>2889571.55</v>
      </c>
      <c r="H62" s="287">
        <f>ROUND(G62*30.2%,2)-0.65</f>
        <v>872649.96</v>
      </c>
    </row>
    <row r="63" ht="25.9" customHeight="1" spans="2:8">
      <c r="B63" s="288" t="s">
        <v>255</v>
      </c>
      <c r="C63" s="289"/>
      <c r="D63" s="289"/>
      <c r="E63" s="289"/>
      <c r="F63" s="289"/>
      <c r="G63" s="290">
        <f>33589+65012</f>
        <v>98601</v>
      </c>
      <c r="H63" s="291"/>
    </row>
    <row r="64" ht="13.5" spans="2:8">
      <c r="B64" s="292"/>
      <c r="C64" s="292"/>
      <c r="D64" s="292"/>
      <c r="E64" s="292"/>
      <c r="F64" s="292"/>
      <c r="G64" s="293">
        <f>SUM(G58:G63)</f>
        <v>11506971.73</v>
      </c>
      <c r="H64" s="294">
        <f>SUM(H58:H63)</f>
        <v>3445327.31</v>
      </c>
    </row>
    <row r="65" spans="2:8">
      <c r="B65" s="353"/>
      <c r="C65" s="354"/>
      <c r="D65" s="353"/>
      <c r="E65" s="353"/>
      <c r="F65" s="353"/>
      <c r="G65" s="353"/>
      <c r="H65" s="353"/>
    </row>
    <row r="66" spans="2:8">
      <c r="B66" s="353"/>
      <c r="C66" s="354"/>
      <c r="D66" s="353"/>
      <c r="E66" s="353"/>
      <c r="F66" s="353"/>
      <c r="G66" s="353"/>
      <c r="H66" s="353"/>
    </row>
    <row r="67" ht="50.25" customHeight="1" spans="2:8">
      <c r="B67" s="303" t="s">
        <v>238</v>
      </c>
      <c r="C67" s="303"/>
      <c r="D67" s="303"/>
      <c r="E67" s="303"/>
      <c r="F67" s="303"/>
      <c r="G67" s="303"/>
      <c r="H67" s="303"/>
    </row>
    <row r="68" spans="2:8">
      <c r="B68" s="304" t="s">
        <v>188</v>
      </c>
      <c r="C68" s="305" t="s">
        <v>239</v>
      </c>
      <c r="D68" s="306"/>
      <c r="E68" s="307" t="s">
        <v>240</v>
      </c>
      <c r="F68" s="308"/>
      <c r="G68" s="292"/>
      <c r="H68" s="292"/>
    </row>
    <row r="69" spans="2:8">
      <c r="B69" s="309">
        <v>226</v>
      </c>
      <c r="C69" s="310">
        <f>IF(E69=0,0,ROUND(E69/('проверка 2020'!I12+'проверка 2020'!J12),2))</f>
        <v>0</v>
      </c>
      <c r="D69" s="311"/>
      <c r="E69" s="286">
        <f>'проверка 2020'!B19-E22</f>
        <v>0</v>
      </c>
      <c r="F69" s="312"/>
      <c r="G69" s="292"/>
      <c r="H69" s="292"/>
    </row>
    <row r="70" ht="13.5" spans="2:8">
      <c r="B70" s="313">
        <v>340</v>
      </c>
      <c r="C70" s="314">
        <f>IF(E70=0,0,ROUND(E70/('проверка 2020'!I12+'проверка 2020'!J12),2))</f>
        <v>0</v>
      </c>
      <c r="D70" s="315"/>
      <c r="E70" s="316">
        <f>'проверка 2020'!B20-E23</f>
        <v>0</v>
      </c>
      <c r="F70" s="317"/>
      <c r="G70" s="292"/>
      <c r="H70" s="292"/>
    </row>
    <row r="71" spans="2:8">
      <c r="B71" s="353"/>
      <c r="C71" s="354"/>
      <c r="D71" s="353"/>
      <c r="E71" s="353"/>
      <c r="F71" s="353"/>
      <c r="G71" s="353"/>
      <c r="H71" s="353"/>
    </row>
    <row r="72" spans="2:8">
      <c r="B72" s="353"/>
      <c r="C72" s="354"/>
      <c r="D72" s="353"/>
      <c r="E72" s="353"/>
      <c r="F72" s="353"/>
      <c r="G72" s="353"/>
      <c r="H72" s="353"/>
    </row>
    <row r="73" spans="2:8">
      <c r="B73" s="353"/>
      <c r="C73" s="354"/>
      <c r="D73" s="353"/>
      <c r="E73" s="353"/>
      <c r="F73" s="353"/>
      <c r="G73" s="353"/>
      <c r="H73" s="353"/>
    </row>
    <row r="74" spans="2:8">
      <c r="B74" s="353"/>
      <c r="C74" s="354"/>
      <c r="D74" s="353"/>
      <c r="E74" s="353"/>
      <c r="F74" s="353"/>
      <c r="G74" s="353"/>
      <c r="H74" s="353"/>
    </row>
    <row r="75" s="120" customFormat="1" ht="52.5" customHeight="1" spans="1:84">
      <c r="A75" s="86"/>
      <c r="B75" s="328" t="s">
        <v>256</v>
      </c>
      <c r="C75" s="328"/>
      <c r="D75" s="328"/>
      <c r="E75" s="328"/>
      <c r="F75" s="328"/>
      <c r="G75" s="328"/>
      <c r="H75" s="328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</row>
    <row r="76" s="120" customFormat="1" ht="38.25" spans="1:84">
      <c r="A76" s="86"/>
      <c r="B76" s="284" t="s">
        <v>254</v>
      </c>
      <c r="C76" s="91" t="s">
        <v>220</v>
      </c>
      <c r="D76" s="91" t="s">
        <v>221</v>
      </c>
      <c r="E76" s="91" t="s">
        <v>222</v>
      </c>
      <c r="F76" s="91" t="s">
        <v>223</v>
      </c>
      <c r="G76" s="91" t="s">
        <v>179</v>
      </c>
      <c r="H76" s="93" t="s">
        <v>224</v>
      </c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</row>
    <row r="77" s="120" customFormat="1" spans="1:84">
      <c r="A77" s="280"/>
      <c r="B77" s="180">
        <f>M41</f>
        <v>21.9</v>
      </c>
      <c r="C77" s="285">
        <f>P41</f>
        <v>9702.36</v>
      </c>
      <c r="D77" s="285">
        <f>Q41</f>
        <v>1.01603563902041</v>
      </c>
      <c r="E77" s="285">
        <v>9</v>
      </c>
      <c r="F77" s="285">
        <v>1</v>
      </c>
      <c r="G77" s="286">
        <f>ROUND((B77*C77*D77*E77*F77),2)</f>
        <v>1943000.67</v>
      </c>
      <c r="H77" s="287">
        <f>ROUND(G77*30.2%,2)</f>
        <v>586786.2</v>
      </c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</row>
    <row r="78" s="120" customFormat="1" spans="1:84">
      <c r="A78" s="280"/>
      <c r="B78" s="180">
        <f>M45</f>
        <v>21.9</v>
      </c>
      <c r="C78" s="285">
        <f>P45</f>
        <v>9993.43</v>
      </c>
      <c r="D78" s="285">
        <f>Q45</f>
        <v>1.01422697054664</v>
      </c>
      <c r="E78" s="285">
        <v>3</v>
      </c>
      <c r="F78" s="285">
        <v>1</v>
      </c>
      <c r="G78" s="286">
        <f>ROUND((B78*C78*D78*E78*F78),2)</f>
        <v>665909.33</v>
      </c>
      <c r="H78" s="287">
        <f>ROUND(G78*30.2%,2)-0.82</f>
        <v>201103.8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</row>
    <row r="79" s="120" customFormat="1" spans="1:84">
      <c r="A79" s="280"/>
      <c r="B79" s="180">
        <f>M49</f>
        <v>0</v>
      </c>
      <c r="C79" s="285">
        <f>P49</f>
        <v>0</v>
      </c>
      <c r="D79" s="285">
        <f>Q49</f>
        <v>0</v>
      </c>
      <c r="E79" s="285"/>
      <c r="F79" s="285"/>
      <c r="G79" s="286">
        <f>ROUND((B79*C79*D79*E79*F79),2)</f>
        <v>0</v>
      </c>
      <c r="H79" s="287">
        <f>ROUND(G79*30.2%,2)</f>
        <v>0</v>
      </c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</row>
    <row r="80" s="120" customFormat="1" spans="1:84">
      <c r="A80" s="280"/>
      <c r="B80" s="355" t="s">
        <v>257</v>
      </c>
      <c r="C80" s="356"/>
      <c r="D80" s="357"/>
      <c r="E80" s="358"/>
      <c r="F80" s="358"/>
      <c r="G80" s="286">
        <v>13902</v>
      </c>
      <c r="H80" s="359">
        <f>ROUND(G80*30.2%,0)</f>
        <v>4198</v>
      </c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</row>
    <row r="81" s="120" customFormat="1" ht="13.5" spans="1:84">
      <c r="A81" s="280"/>
      <c r="B81" s="360" t="s">
        <v>258</v>
      </c>
      <c r="C81" s="361"/>
      <c r="D81" s="362"/>
      <c r="E81" s="301"/>
      <c r="F81" s="301"/>
      <c r="G81" s="316">
        <v>264439</v>
      </c>
      <c r="H81" s="302">
        <f>ROUND(G81*30.2%,0)</f>
        <v>79861</v>
      </c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</row>
    <row r="82" s="120" customFormat="1" ht="13.5" spans="1:84">
      <c r="A82" s="280"/>
      <c r="B82" s="292"/>
      <c r="C82" s="292"/>
      <c r="D82" s="292"/>
      <c r="E82" s="292"/>
      <c r="F82" s="292"/>
      <c r="G82" s="293">
        <f>SUM(G77:G81)</f>
        <v>2887251</v>
      </c>
      <c r="H82" s="294">
        <f>SUM(H77:H81)</f>
        <v>871949</v>
      </c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</row>
    <row r="83" s="120" customFormat="1" spans="1:84">
      <c r="A83" s="280"/>
      <c r="B83" s="353"/>
      <c r="C83" s="354"/>
      <c r="D83" s="353"/>
      <c r="E83" s="353"/>
      <c r="F83" s="353"/>
      <c r="G83" s="353"/>
      <c r="H83" s="353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</row>
    <row r="84" s="120" customFormat="1" spans="1:84">
      <c r="A84" s="280"/>
      <c r="B84" s="353"/>
      <c r="C84" s="354"/>
      <c r="D84" s="353"/>
      <c r="E84" s="353"/>
      <c r="F84" s="353"/>
      <c r="G84" s="353"/>
      <c r="H84" s="353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</row>
    <row r="85" s="120" customFormat="1" ht="47.25" customHeight="1" spans="1:84">
      <c r="A85" s="280"/>
      <c r="B85" s="303" t="s">
        <v>259</v>
      </c>
      <c r="C85" s="303"/>
      <c r="D85" s="303"/>
      <c r="E85" s="303"/>
      <c r="F85" s="303"/>
      <c r="G85" s="303"/>
      <c r="H85" s="303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</row>
    <row r="86" s="120" customFormat="1" spans="1:84">
      <c r="A86" s="280"/>
      <c r="B86" s="304" t="s">
        <v>188</v>
      </c>
      <c r="C86" s="305" t="s">
        <v>239</v>
      </c>
      <c r="D86" s="306"/>
      <c r="E86" s="307" t="s">
        <v>240</v>
      </c>
      <c r="F86" s="308"/>
      <c r="G86" s="292"/>
      <c r="H86" s="292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</row>
    <row r="87" s="120" customFormat="1" spans="1:84">
      <c r="A87" s="280"/>
      <c r="B87" s="309">
        <v>226</v>
      </c>
      <c r="C87" s="310">
        <f>IF(E87=0,0,ROUND(E87/('проверка 2020'!I12+'проверка 2020'!J12),2))</f>
        <v>0</v>
      </c>
      <c r="D87" s="311"/>
      <c r="E87" s="286">
        <f>'проверка 2020'!B34</f>
        <v>0</v>
      </c>
      <c r="F87" s="312"/>
      <c r="G87" s="292"/>
      <c r="H87" s="292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</row>
    <row r="88" s="120" customFormat="1" ht="13.5" spans="1:84">
      <c r="A88" s="280"/>
      <c r="B88" s="313">
        <v>340</v>
      </c>
      <c r="C88" s="314">
        <f>IF(E88=0,0,ROUND(E88/('проверка 2020'!I12+'проверка 2020'!J12),2))</f>
        <v>0</v>
      </c>
      <c r="D88" s="315"/>
      <c r="E88" s="316">
        <f>'проверка 2020'!B35</f>
        <v>0</v>
      </c>
      <c r="F88" s="317"/>
      <c r="G88" s="292"/>
      <c r="H88" s="292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</row>
    <row r="89" s="120" customFormat="1" spans="1:84">
      <c r="A89" s="280"/>
      <c r="B89" s="353"/>
      <c r="C89" s="354"/>
      <c r="D89" s="353"/>
      <c r="E89" s="353"/>
      <c r="F89" s="353"/>
      <c r="G89" s="353" t="s">
        <v>181</v>
      </c>
      <c r="H89" s="353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</row>
    <row r="90" s="120" customFormat="1" ht="13.5" spans="1:84">
      <c r="A90" s="280"/>
      <c r="B90" s="353"/>
      <c r="C90" s="354"/>
      <c r="D90" s="353"/>
      <c r="E90" s="353"/>
      <c r="F90" s="353"/>
      <c r="G90" s="353"/>
      <c r="H90" s="353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</row>
    <row r="91" s="120" customFormat="1" ht="89.25" spans="1:84">
      <c r="A91" s="280"/>
      <c r="B91" s="284" t="s">
        <v>242</v>
      </c>
      <c r="C91" s="91" t="s">
        <v>243</v>
      </c>
      <c r="D91" s="91" t="s">
        <v>222</v>
      </c>
      <c r="E91" s="93" t="s">
        <v>244</v>
      </c>
      <c r="F91" s="292"/>
      <c r="G91" s="292"/>
      <c r="H91" s="292" t="s">
        <v>181</v>
      </c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</row>
    <row r="92" s="120" customFormat="1" hidden="1" spans="1:84">
      <c r="A92" s="280"/>
      <c r="B92" s="180"/>
      <c r="C92" s="285"/>
      <c r="D92" s="285"/>
      <c r="E92" s="312"/>
      <c r="F92" s="292"/>
      <c r="G92" s="292"/>
      <c r="H92" s="292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</row>
    <row r="93" s="120" customFormat="1" ht="13.5" spans="1:84">
      <c r="A93" s="280"/>
      <c r="B93" s="175">
        <v>50</v>
      </c>
      <c r="C93" s="301">
        <v>3</v>
      </c>
      <c r="D93" s="301">
        <v>12</v>
      </c>
      <c r="E93" s="317">
        <f>B93*C93*D93</f>
        <v>1800</v>
      </c>
      <c r="I93" s="120" t="s">
        <v>181</v>
      </c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</row>
    <row r="94" s="120" customFormat="1" spans="1:84">
      <c r="A94" s="280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</row>
    <row r="95" s="120" customFormat="1" spans="1:84">
      <c r="A95" s="280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</row>
    <row r="96" s="120" customFormat="1" spans="1:84">
      <c r="A96" s="280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</row>
    <row r="97" s="120" customFormat="1" spans="1:84">
      <c r="A97" s="280"/>
      <c r="B97" s="116" t="s">
        <v>246</v>
      </c>
      <c r="C97" s="117"/>
      <c r="D97" s="118"/>
      <c r="E97" s="77" t="s">
        <v>247</v>
      </c>
      <c r="F97" s="119"/>
      <c r="G97" s="77"/>
      <c r="H97" s="7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</row>
    <row r="98" s="120" customFormat="1" spans="1:84">
      <c r="A98" s="280"/>
      <c r="B98" s="7"/>
      <c r="C98" s="7"/>
      <c r="D98" s="7"/>
      <c r="E98" s="7"/>
      <c r="F98" s="7"/>
      <c r="G98" s="7"/>
      <c r="H98" s="7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</row>
    <row r="99" s="120" customFormat="1" spans="1:84">
      <c r="A99" s="86"/>
      <c r="B99" s="7"/>
      <c r="C99" s="7"/>
      <c r="D99" s="7"/>
      <c r="E99" s="7"/>
      <c r="F99" s="7"/>
      <c r="G99" s="7"/>
      <c r="H99" s="7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</row>
    <row r="100" s="120" customFormat="1" spans="1:84">
      <c r="A100" s="86"/>
      <c r="B100" s="86" t="s">
        <v>249</v>
      </c>
      <c r="C100" s="117"/>
      <c r="D100" s="117"/>
      <c r="E100" s="77" t="s">
        <v>250</v>
      </c>
      <c r="F100" s="119"/>
      <c r="G100" s="77"/>
      <c r="H100" s="7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</row>
    <row r="101" s="120" customFormat="1" spans="1:84">
      <c r="A101" s="86"/>
      <c r="B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</row>
    <row r="102" s="120" customFormat="1" spans="1:84">
      <c r="A102" s="86"/>
      <c r="B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</row>
    <row r="103" s="120" customFormat="1" spans="1:84">
      <c r="A103" s="86"/>
      <c r="B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</row>
    <row r="104" s="120" customFormat="1" spans="1:84">
      <c r="A104" s="86"/>
      <c r="B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</row>
  </sheetData>
  <mergeCells count="36">
    <mergeCell ref="H1:I1"/>
    <mergeCell ref="B2:H2"/>
    <mergeCell ref="H3:I3"/>
    <mergeCell ref="B4:H4"/>
    <mergeCell ref="J7:K7"/>
    <mergeCell ref="B20:H20"/>
    <mergeCell ref="C21:D21"/>
    <mergeCell ref="E21:F21"/>
    <mergeCell ref="C22:D22"/>
    <mergeCell ref="E22:F22"/>
    <mergeCell ref="C23:D23"/>
    <mergeCell ref="E23:F23"/>
    <mergeCell ref="B27:H27"/>
    <mergeCell ref="J38:K38"/>
    <mergeCell ref="J42:K42"/>
    <mergeCell ref="J46:K46"/>
    <mergeCell ref="G54:H54"/>
    <mergeCell ref="B55:H55"/>
    <mergeCell ref="B56:H56"/>
    <mergeCell ref="B67:H67"/>
    <mergeCell ref="C68:D68"/>
    <mergeCell ref="E68:F68"/>
    <mergeCell ref="C69:D69"/>
    <mergeCell ref="E69:F69"/>
    <mergeCell ref="C70:D70"/>
    <mergeCell ref="E70:F70"/>
    <mergeCell ref="B75:H75"/>
    <mergeCell ref="B80:D80"/>
    <mergeCell ref="B81:D81"/>
    <mergeCell ref="B85:H85"/>
    <mergeCell ref="C86:D86"/>
    <mergeCell ref="E86:F86"/>
    <mergeCell ref="C87:D87"/>
    <mergeCell ref="E87:F87"/>
    <mergeCell ref="C88:D88"/>
    <mergeCell ref="E88:F88"/>
  </mergeCells>
  <pageMargins left="0.590551181102362" right="0" top="0.551181102362205" bottom="0.551181102362205" header="0.31496062992126" footer="0.31496062992126"/>
  <pageSetup paperSize="9" scale="71" orientation="portrait"/>
  <headerFooter/>
  <rowBreaks count="1" manualBreakCount="1">
    <brk id="5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E113"/>
  <sheetViews>
    <sheetView view="pageBreakPreview" zoomScaleNormal="100" workbookViewId="0">
      <selection activeCell="G39" sqref="G39:G40"/>
    </sheetView>
  </sheetViews>
  <sheetFormatPr defaultColWidth="9.14285714285714" defaultRowHeight="12.75"/>
  <cols>
    <col min="1" max="1" width="3.42857142857143" style="86" customWidth="1"/>
    <col min="2" max="2" width="27.8571428571429" style="86" customWidth="1"/>
    <col min="3" max="3" width="16.8571428571429" style="184" customWidth="1"/>
    <col min="4" max="4" width="12.8571428571429" style="86" customWidth="1"/>
    <col min="5" max="5" width="14.2857142857143" style="86" customWidth="1"/>
    <col min="6" max="6" width="13" style="86" customWidth="1"/>
    <col min="7" max="7" width="14.5714285714286" style="86" customWidth="1"/>
    <col min="8" max="8" width="9.14285714285714" style="86"/>
    <col min="9" max="9" width="13.8571428571429" style="86" customWidth="1"/>
    <col min="10" max="10" width="10.1428571428571" style="86" customWidth="1"/>
    <col min="11" max="11" width="8.71428571428571" style="86" customWidth="1"/>
    <col min="12" max="16384" width="9.14285714285714" style="86"/>
  </cols>
  <sheetData>
    <row r="1" spans="6:7">
      <c r="F1" s="77" t="s">
        <v>260</v>
      </c>
      <c r="G1" s="77"/>
    </row>
    <row r="2" ht="25.5" customHeight="1" spans="2:7">
      <c r="B2" s="166" t="s">
        <v>261</v>
      </c>
      <c r="C2" s="166"/>
      <c r="D2" s="166"/>
      <c r="E2" s="166"/>
      <c r="F2" s="166"/>
      <c r="G2" s="166"/>
    </row>
    <row r="3" s="165" customFormat="1" spans="2:7">
      <c r="B3" s="167"/>
      <c r="C3" s="185"/>
      <c r="D3" s="167"/>
      <c r="E3" s="167"/>
      <c r="F3" s="167"/>
      <c r="G3" s="167"/>
    </row>
    <row r="4" ht="13.5" spans="2:7">
      <c r="B4" s="167"/>
      <c r="C4" s="185"/>
      <c r="D4" s="167"/>
      <c r="E4" s="167"/>
      <c r="F4" s="167"/>
      <c r="G4" s="167"/>
    </row>
    <row r="5" s="181" customFormat="1" ht="25.5" spans="2:7">
      <c r="B5" s="186"/>
      <c r="C5" s="187" t="s">
        <v>262</v>
      </c>
      <c r="D5" s="188" t="s">
        <v>263</v>
      </c>
      <c r="E5" s="188" t="s">
        <v>222</v>
      </c>
      <c r="F5" s="189" t="s">
        <v>223</v>
      </c>
      <c r="G5" s="190" t="s">
        <v>264</v>
      </c>
    </row>
    <row r="6" s="182" customFormat="1" spans="2:7">
      <c r="B6" s="191" t="s">
        <v>265</v>
      </c>
      <c r="C6" s="192">
        <v>474.34</v>
      </c>
      <c r="D6" s="193">
        <v>41.698</v>
      </c>
      <c r="E6" s="193">
        <v>12</v>
      </c>
      <c r="F6" s="193">
        <v>1</v>
      </c>
      <c r="G6" s="156">
        <f>ROUND(C6*D6*E6*F6,0)</f>
        <v>237348</v>
      </c>
    </row>
    <row r="7" s="182" customFormat="1" spans="2:7">
      <c r="B7" s="194" t="s">
        <v>266</v>
      </c>
      <c r="C7" s="192">
        <v>0.2</v>
      </c>
      <c r="D7" s="193">
        <v>5227</v>
      </c>
      <c r="E7" s="193">
        <v>12</v>
      </c>
      <c r="F7" s="193">
        <v>1</v>
      </c>
      <c r="G7" s="156">
        <f>ROUND(C7*D7*E7*F7,0)</f>
        <v>12545</v>
      </c>
    </row>
    <row r="8" s="182" customFormat="1" ht="34.5" customHeight="1" spans="2:7">
      <c r="B8" s="191" t="s">
        <v>267</v>
      </c>
      <c r="C8" s="195">
        <v>261.2</v>
      </c>
      <c r="D8" s="193">
        <v>3</v>
      </c>
      <c r="E8" s="193">
        <v>12</v>
      </c>
      <c r="F8" s="193">
        <v>1</v>
      </c>
      <c r="G8" s="156">
        <f t="shared" ref="G8:G38" si="0">ROUND(C8*D8*E8*F8,2)</f>
        <v>9403.2</v>
      </c>
    </row>
    <row r="9" s="182" customFormat="1" spans="2:7">
      <c r="B9" s="191" t="s">
        <v>268</v>
      </c>
      <c r="C9" s="192">
        <v>1274</v>
      </c>
      <c r="D9" s="193">
        <v>2</v>
      </c>
      <c r="E9" s="193">
        <v>12</v>
      </c>
      <c r="F9" s="193">
        <v>1</v>
      </c>
      <c r="G9" s="156">
        <f t="shared" si="0"/>
        <v>30576</v>
      </c>
    </row>
    <row r="10" s="182" customFormat="1" spans="2:7">
      <c r="B10" s="191" t="s">
        <v>268</v>
      </c>
      <c r="C10" s="192">
        <v>1000</v>
      </c>
      <c r="D10" s="193">
        <v>1</v>
      </c>
      <c r="E10" s="193">
        <v>12</v>
      </c>
      <c r="F10" s="193">
        <v>1</v>
      </c>
      <c r="G10" s="156">
        <f t="shared" ref="G10" si="1">ROUND(C10*D10*E10*F10,2)</f>
        <v>12000</v>
      </c>
    </row>
    <row r="11" s="182" customFormat="1" spans="2:7">
      <c r="B11" s="191" t="s">
        <v>269</v>
      </c>
      <c r="C11" s="192">
        <v>1600</v>
      </c>
      <c r="D11" s="193">
        <v>1</v>
      </c>
      <c r="E11" s="193">
        <v>12</v>
      </c>
      <c r="F11" s="193">
        <v>1</v>
      </c>
      <c r="G11" s="156">
        <f t="shared" si="0"/>
        <v>19200</v>
      </c>
    </row>
    <row r="12" s="182" customFormat="1" spans="2:7">
      <c r="B12" s="191" t="s">
        <v>270</v>
      </c>
      <c r="C12" s="192">
        <v>7.5</v>
      </c>
      <c r="D12" s="196">
        <v>494.5</v>
      </c>
      <c r="E12" s="196">
        <v>12</v>
      </c>
      <c r="F12" s="196">
        <v>1</v>
      </c>
      <c r="G12" s="156">
        <f t="shared" si="0"/>
        <v>44505</v>
      </c>
    </row>
    <row r="13" s="182" customFormat="1" ht="25.5" spans="2:7">
      <c r="B13" s="191" t="s">
        <v>271</v>
      </c>
      <c r="C13" s="192">
        <v>2000</v>
      </c>
      <c r="D13" s="193">
        <v>1</v>
      </c>
      <c r="E13" s="193">
        <v>12</v>
      </c>
      <c r="F13" s="193">
        <v>1</v>
      </c>
      <c r="G13" s="156">
        <f t="shared" si="0"/>
        <v>24000</v>
      </c>
    </row>
    <row r="14" s="182" customFormat="1" spans="2:9">
      <c r="B14" s="191" t="s">
        <v>272</v>
      </c>
      <c r="C14" s="192">
        <v>1100</v>
      </c>
      <c r="D14" s="193">
        <v>2</v>
      </c>
      <c r="E14" s="193">
        <v>12</v>
      </c>
      <c r="F14" s="193">
        <v>1</v>
      </c>
      <c r="G14" s="156">
        <f t="shared" si="0"/>
        <v>26400</v>
      </c>
      <c r="I14" s="239"/>
    </row>
    <row r="15" s="182" customFormat="1" spans="2:9">
      <c r="B15" s="191" t="s">
        <v>272</v>
      </c>
      <c r="C15" s="192">
        <v>1000</v>
      </c>
      <c r="D15" s="193">
        <v>1</v>
      </c>
      <c r="E15" s="193">
        <v>12</v>
      </c>
      <c r="F15" s="193">
        <v>1</v>
      </c>
      <c r="G15" s="156">
        <f t="shared" ref="G15" si="2">ROUND(C15*D15*E15*F15,2)</f>
        <v>12000</v>
      </c>
      <c r="I15" s="239"/>
    </row>
    <row r="16" s="182" customFormat="1" ht="25.5" spans="2:7">
      <c r="B16" s="191" t="s">
        <v>273</v>
      </c>
      <c r="C16" s="192">
        <v>1605.26</v>
      </c>
      <c r="D16" s="193">
        <v>2</v>
      </c>
      <c r="E16" s="193">
        <v>12</v>
      </c>
      <c r="F16" s="193">
        <v>1</v>
      </c>
      <c r="G16" s="156">
        <f t="shared" si="0"/>
        <v>38526.24</v>
      </c>
    </row>
    <row r="17" s="182" customFormat="1" ht="25.5" spans="2:9">
      <c r="B17" s="191" t="s">
        <v>274</v>
      </c>
      <c r="C17" s="192">
        <v>15500</v>
      </c>
      <c r="D17" s="193">
        <v>1</v>
      </c>
      <c r="E17" s="193">
        <v>1</v>
      </c>
      <c r="F17" s="193">
        <v>1</v>
      </c>
      <c r="G17" s="156">
        <f t="shared" si="0"/>
        <v>15500</v>
      </c>
      <c r="I17" s="239"/>
    </row>
    <row r="18" s="182" customFormat="1" hidden="1" spans="2:7">
      <c r="B18" s="191"/>
      <c r="C18" s="192"/>
      <c r="D18" s="193"/>
      <c r="E18" s="193"/>
      <c r="F18" s="193"/>
      <c r="G18" s="156">
        <f t="shared" si="0"/>
        <v>0</v>
      </c>
    </row>
    <row r="19" s="182" customFormat="1" ht="38.25" hidden="1" customHeight="1" spans="2:7">
      <c r="B19" s="191" t="s">
        <v>275</v>
      </c>
      <c r="C19" s="192"/>
      <c r="D19" s="193"/>
      <c r="E19" s="193"/>
      <c r="F19" s="193"/>
      <c r="G19" s="156">
        <f t="shared" si="0"/>
        <v>0</v>
      </c>
    </row>
    <row r="20" s="182" customFormat="1" spans="2:7">
      <c r="B20" s="191" t="s">
        <v>276</v>
      </c>
      <c r="C20" s="192">
        <v>8800</v>
      </c>
      <c r="D20" s="193">
        <v>1</v>
      </c>
      <c r="E20" s="193">
        <v>1</v>
      </c>
      <c r="F20" s="193">
        <v>1</v>
      </c>
      <c r="G20" s="156">
        <f t="shared" si="0"/>
        <v>8800</v>
      </c>
    </row>
    <row r="21" s="182" customFormat="1" ht="25.5" spans="2:7">
      <c r="B21" s="194" t="s">
        <v>277</v>
      </c>
      <c r="C21" s="192">
        <v>8795.26</v>
      </c>
      <c r="D21" s="193">
        <v>1</v>
      </c>
      <c r="E21" s="193">
        <v>12</v>
      </c>
      <c r="F21" s="193">
        <v>1</v>
      </c>
      <c r="G21" s="156">
        <f t="shared" si="0"/>
        <v>105543.12</v>
      </c>
    </row>
    <row r="22" s="182" customFormat="1" spans="2:7">
      <c r="B22" s="191" t="s">
        <v>278</v>
      </c>
      <c r="C22" s="192">
        <v>13000</v>
      </c>
      <c r="D22" s="193">
        <v>2</v>
      </c>
      <c r="E22" s="193">
        <v>1</v>
      </c>
      <c r="F22" s="193">
        <v>1</v>
      </c>
      <c r="G22" s="156">
        <f t="shared" si="0"/>
        <v>26000</v>
      </c>
    </row>
    <row r="23" s="182" customFormat="1" spans="2:7">
      <c r="B23" s="191" t="s">
        <v>279</v>
      </c>
      <c r="C23" s="192">
        <v>1158.12</v>
      </c>
      <c r="D23" s="193">
        <v>1</v>
      </c>
      <c r="E23" s="193">
        <v>12</v>
      </c>
      <c r="F23" s="193">
        <v>1</v>
      </c>
      <c r="G23" s="156">
        <f t="shared" si="0"/>
        <v>13897.44</v>
      </c>
    </row>
    <row r="24" s="182" customFormat="1" spans="2:7">
      <c r="B24" s="191" t="s">
        <v>280</v>
      </c>
      <c r="C24" s="197"/>
      <c r="D24" s="198"/>
      <c r="E24" s="199"/>
      <c r="F24" s="193"/>
      <c r="G24" s="156">
        <f t="shared" si="0"/>
        <v>0</v>
      </c>
    </row>
    <row r="25" s="182" customFormat="1" ht="25.5" customHeight="1" spans="2:7">
      <c r="B25" s="191" t="s">
        <v>281</v>
      </c>
      <c r="C25" s="197"/>
      <c r="D25" s="198"/>
      <c r="E25" s="199"/>
      <c r="F25" s="193"/>
      <c r="G25" s="156">
        <f t="shared" si="0"/>
        <v>0</v>
      </c>
    </row>
    <row r="26" s="182" customFormat="1" customHeight="1" spans="2:7">
      <c r="B26" s="191" t="s">
        <v>282</v>
      </c>
      <c r="C26" s="197"/>
      <c r="D26" s="198"/>
      <c r="E26" s="199"/>
      <c r="F26" s="193"/>
      <c r="G26" s="156">
        <f t="shared" si="0"/>
        <v>0</v>
      </c>
    </row>
    <row r="27" s="182" customFormat="1" ht="14.25" customHeight="1" spans="2:7">
      <c r="B27" s="191" t="s">
        <v>283</v>
      </c>
      <c r="C27" s="197">
        <v>3197.4</v>
      </c>
      <c r="D27" s="198">
        <v>1</v>
      </c>
      <c r="E27" s="199">
        <v>12</v>
      </c>
      <c r="F27" s="193">
        <v>1</v>
      </c>
      <c r="G27" s="156">
        <f>ROUND(C27*D27*E27*F27,0)</f>
        <v>38369</v>
      </c>
    </row>
    <row r="28" s="182" customFormat="1" ht="25.5" spans="2:7">
      <c r="B28" s="194" t="s">
        <v>284</v>
      </c>
      <c r="C28" s="200">
        <v>12</v>
      </c>
      <c r="D28" s="198">
        <v>100</v>
      </c>
      <c r="E28" s="199">
        <v>1</v>
      </c>
      <c r="F28" s="193">
        <v>1</v>
      </c>
      <c r="G28" s="156">
        <f t="shared" si="0"/>
        <v>1200</v>
      </c>
    </row>
    <row r="29" s="182" customFormat="1" spans="2:7">
      <c r="B29" s="201" t="s">
        <v>279</v>
      </c>
      <c r="C29" s="192"/>
      <c r="D29" s="193"/>
      <c r="E29" s="193"/>
      <c r="F29" s="193"/>
      <c r="G29" s="156">
        <f t="shared" si="0"/>
        <v>0</v>
      </c>
    </row>
    <row r="30" s="182" customFormat="1" ht="11.25" customHeight="1" spans="2:9">
      <c r="B30" s="202" t="s">
        <v>285</v>
      </c>
      <c r="C30" s="192">
        <v>220</v>
      </c>
      <c r="D30" s="193">
        <v>38</v>
      </c>
      <c r="E30" s="193">
        <v>1</v>
      </c>
      <c r="F30" s="193">
        <v>1</v>
      </c>
      <c r="G30" s="156">
        <f t="shared" si="0"/>
        <v>8360</v>
      </c>
      <c r="I30" s="239"/>
    </row>
    <row r="31" s="182" customFormat="1" spans="2:7">
      <c r="B31" s="203"/>
      <c r="C31" s="192"/>
      <c r="D31" s="193"/>
      <c r="E31" s="193"/>
      <c r="F31" s="193"/>
      <c r="G31" s="156">
        <f t="shared" si="0"/>
        <v>0</v>
      </c>
    </row>
    <row r="32" s="182" customFormat="1" ht="13.5" spans="2:7">
      <c r="B32" s="203"/>
      <c r="C32" s="192"/>
      <c r="D32" s="193"/>
      <c r="E32" s="193"/>
      <c r="F32" s="193"/>
      <c r="G32" s="156">
        <f t="shared" si="0"/>
        <v>0</v>
      </c>
    </row>
    <row r="33" s="182" customFormat="1" ht="11.25" hidden="1" customHeight="1" spans="2:9">
      <c r="B33" s="202" t="s">
        <v>286</v>
      </c>
      <c r="C33" s="192"/>
      <c r="D33" s="193"/>
      <c r="E33" s="193"/>
      <c r="F33" s="193"/>
      <c r="G33" s="156">
        <f t="shared" si="0"/>
        <v>0</v>
      </c>
      <c r="I33" s="239"/>
    </row>
    <row r="34" s="182" customFormat="1" hidden="1" spans="2:7">
      <c r="B34" s="203"/>
      <c r="C34" s="192"/>
      <c r="D34" s="193"/>
      <c r="E34" s="193"/>
      <c r="F34" s="193"/>
      <c r="G34" s="156">
        <f t="shared" si="0"/>
        <v>0</v>
      </c>
    </row>
    <row r="35" s="182" customFormat="1" hidden="1" spans="2:7">
      <c r="B35" s="203"/>
      <c r="C35" s="192"/>
      <c r="D35" s="193"/>
      <c r="E35" s="193"/>
      <c r="F35" s="193"/>
      <c r="G35" s="156">
        <f t="shared" si="0"/>
        <v>0</v>
      </c>
    </row>
    <row r="36" s="182" customFormat="1" ht="13.5" hidden="1" spans="2:7">
      <c r="B36" s="204"/>
      <c r="C36" s="205"/>
      <c r="D36" s="206"/>
      <c r="E36" s="206"/>
      <c r="F36" s="206"/>
      <c r="G36" s="156">
        <f t="shared" si="0"/>
        <v>0</v>
      </c>
    </row>
    <row r="37" s="182" customFormat="1" spans="2:7">
      <c r="B37" s="207" t="s">
        <v>287</v>
      </c>
      <c r="C37" s="208"/>
      <c r="D37" s="209"/>
      <c r="E37" s="209"/>
      <c r="F37" s="209"/>
      <c r="G37" s="156">
        <f t="shared" si="0"/>
        <v>0</v>
      </c>
    </row>
    <row r="38" s="182" customFormat="1" ht="17.25" hidden="1" customHeight="1" spans="2:7">
      <c r="B38" s="201" t="s">
        <v>280</v>
      </c>
      <c r="C38" s="192"/>
      <c r="D38" s="193"/>
      <c r="E38" s="193"/>
      <c r="F38" s="193"/>
      <c r="G38" s="156">
        <f t="shared" si="0"/>
        <v>0</v>
      </c>
    </row>
    <row r="39" s="182" customFormat="1" spans="2:7">
      <c r="B39" s="201" t="s">
        <v>288</v>
      </c>
      <c r="C39" s="192">
        <v>5000</v>
      </c>
      <c r="D39" s="193">
        <v>2</v>
      </c>
      <c r="E39" s="193">
        <v>1</v>
      </c>
      <c r="F39" s="193">
        <v>1</v>
      </c>
      <c r="G39" s="156">
        <f>C39*D39*E39*F39</f>
        <v>10000</v>
      </c>
    </row>
    <row r="40" s="182" customFormat="1" spans="2:9">
      <c r="B40" s="201" t="s">
        <v>289</v>
      </c>
      <c r="C40" s="192">
        <v>600</v>
      </c>
      <c r="D40" s="193">
        <v>8</v>
      </c>
      <c r="E40" s="193">
        <v>1</v>
      </c>
      <c r="F40" s="193">
        <v>1</v>
      </c>
      <c r="G40" s="156">
        <f>C40*D40*E40*F40</f>
        <v>4800</v>
      </c>
      <c r="I40" s="239"/>
    </row>
    <row r="41" s="182" customFormat="1" ht="38.25" spans="2:7">
      <c r="B41" s="201" t="s">
        <v>290</v>
      </c>
      <c r="C41" s="192">
        <v>550</v>
      </c>
      <c r="D41" s="193">
        <v>8</v>
      </c>
      <c r="E41" s="193">
        <v>2</v>
      </c>
      <c r="F41" s="193">
        <v>1</v>
      </c>
      <c r="G41" s="156">
        <f>C41*D41*E41*F41</f>
        <v>8800</v>
      </c>
    </row>
    <row r="42" s="182" customFormat="1" ht="27.75" hidden="1" customHeight="1" spans="2:7">
      <c r="B42" s="201" t="s">
        <v>291</v>
      </c>
      <c r="C42" s="192"/>
      <c r="D42" s="193"/>
      <c r="E42" s="193"/>
      <c r="F42" s="193"/>
      <c r="G42" s="156">
        <f t="shared" ref="G42:G43" si="3">C42*D42*E42*F42</f>
        <v>0</v>
      </c>
    </row>
    <row r="43" s="182" customFormat="1" hidden="1" customHeight="1" spans="2:7">
      <c r="B43" s="201" t="s">
        <v>292</v>
      </c>
      <c r="C43" s="192"/>
      <c r="D43" s="193"/>
      <c r="E43" s="193"/>
      <c r="F43" s="193"/>
      <c r="G43" s="156">
        <f t="shared" si="3"/>
        <v>0</v>
      </c>
    </row>
    <row r="44" s="182" customFormat="1" ht="25.5" hidden="1" spans="2:7">
      <c r="B44" s="201" t="s">
        <v>293</v>
      </c>
      <c r="C44" s="192"/>
      <c r="D44" s="193"/>
      <c r="E44" s="193"/>
      <c r="F44" s="193"/>
      <c r="G44" s="156">
        <f t="shared" ref="G44:G53" si="4">ROUND(C44*D44*E44*F44,2)</f>
        <v>0</v>
      </c>
    </row>
    <row r="45" s="182" customFormat="1" hidden="1" customHeight="1" spans="2:7">
      <c r="B45" s="201"/>
      <c r="C45" s="192"/>
      <c r="D45" s="193"/>
      <c r="E45" s="193"/>
      <c r="F45" s="193"/>
      <c r="G45" s="156">
        <f t="shared" si="4"/>
        <v>0</v>
      </c>
    </row>
    <row r="46" s="182" customFormat="1" hidden="1" customHeight="1" spans="2:7">
      <c r="B46" s="201"/>
      <c r="C46" s="192"/>
      <c r="D46" s="193"/>
      <c r="E46" s="193"/>
      <c r="F46" s="193"/>
      <c r="G46" s="156">
        <f t="shared" si="4"/>
        <v>0</v>
      </c>
    </row>
    <row r="47" s="182" customFormat="1" hidden="1" spans="2:7">
      <c r="B47" s="201"/>
      <c r="C47" s="192"/>
      <c r="D47" s="193"/>
      <c r="E47" s="193"/>
      <c r="F47" s="193"/>
      <c r="G47" s="156">
        <f t="shared" si="4"/>
        <v>0</v>
      </c>
    </row>
    <row r="48" s="182" customFormat="1" hidden="1" customHeight="1" spans="2:7">
      <c r="B48" s="210"/>
      <c r="C48" s="211"/>
      <c r="D48" s="212"/>
      <c r="E48" s="212"/>
      <c r="F48" s="212"/>
      <c r="G48" s="213">
        <f t="shared" si="4"/>
        <v>0</v>
      </c>
    </row>
    <row r="49" s="182" customFormat="1" ht="24.75" hidden="1" customHeight="1" spans="2:7">
      <c r="B49" s="214" t="s">
        <v>294</v>
      </c>
      <c r="C49" s="215"/>
      <c r="D49" s="216"/>
      <c r="E49" s="216"/>
      <c r="F49" s="216"/>
      <c r="G49" s="217">
        <f>C49*D49*E49*F49</f>
        <v>0</v>
      </c>
    </row>
    <row r="50" ht="13.5" hidden="1" customHeight="1" spans="2:7">
      <c r="B50" s="218"/>
      <c r="C50" s="219"/>
      <c r="D50" s="220"/>
      <c r="E50" s="220"/>
      <c r="F50" s="220"/>
      <c r="G50" s="221">
        <f t="shared" si="4"/>
        <v>0</v>
      </c>
    </row>
    <row r="51" ht="13.5" hidden="1" customHeight="1" spans="2:7">
      <c r="B51" s="222"/>
      <c r="C51" s="223"/>
      <c r="D51" s="170"/>
      <c r="E51" s="170"/>
      <c r="F51" s="170"/>
      <c r="G51" s="224">
        <f t="shared" si="4"/>
        <v>0</v>
      </c>
    </row>
    <row r="52" hidden="1" spans="2:7">
      <c r="B52" s="222"/>
      <c r="C52" s="223"/>
      <c r="D52" s="170"/>
      <c r="E52" s="170"/>
      <c r="F52" s="170"/>
      <c r="G52" s="224">
        <f t="shared" si="4"/>
        <v>0</v>
      </c>
    </row>
    <row r="53" hidden="1" spans="2:7">
      <c r="B53" s="222"/>
      <c r="C53" s="223"/>
      <c r="D53" s="170"/>
      <c r="E53" s="170"/>
      <c r="F53" s="170"/>
      <c r="G53" s="224">
        <f t="shared" si="4"/>
        <v>0</v>
      </c>
    </row>
    <row r="54" ht="13.5" spans="2:9">
      <c r="B54" s="175"/>
      <c r="C54" s="225"/>
      <c r="D54" s="103"/>
      <c r="E54" s="103"/>
      <c r="F54" s="103"/>
      <c r="G54" s="104"/>
      <c r="I54" s="240"/>
    </row>
    <row r="55" spans="2:8">
      <c r="B55" s="226"/>
      <c r="C55" s="227"/>
      <c r="D55" s="165"/>
      <c r="E55" s="165"/>
      <c r="F55" s="165"/>
      <c r="G55" s="161"/>
      <c r="H55" s="165"/>
    </row>
    <row r="56" spans="2:7">
      <c r="B56" s="226"/>
      <c r="C56" s="227"/>
      <c r="D56" s="165"/>
      <c r="E56" s="165"/>
      <c r="F56" s="165"/>
      <c r="G56" s="165"/>
    </row>
    <row r="57" ht="17.25" customHeight="1" spans="2:2">
      <c r="B57" s="120"/>
    </row>
    <row r="58" s="182" customFormat="1" ht="32.25" customHeight="1" spans="2:7">
      <c r="B58" s="228" t="s">
        <v>295</v>
      </c>
      <c r="C58" s="229"/>
      <c r="D58" s="229"/>
      <c r="E58" s="229"/>
      <c r="F58" s="229"/>
      <c r="G58" s="229"/>
    </row>
    <row r="59" s="182" customFormat="1" ht="13.5" spans="2:3">
      <c r="B59" s="181"/>
      <c r="C59" s="230"/>
    </row>
    <row r="60" s="182" customFormat="1" ht="25.5" spans="2:7">
      <c r="B60" s="231"/>
      <c r="C60" s="232" t="s">
        <v>262</v>
      </c>
      <c r="D60" s="233" t="s">
        <v>263</v>
      </c>
      <c r="E60" s="233" t="s">
        <v>222</v>
      </c>
      <c r="F60" s="234" t="s">
        <v>223</v>
      </c>
      <c r="G60" s="235" t="s">
        <v>264</v>
      </c>
    </row>
    <row r="61" s="183" customFormat="1" ht="25.5" spans="2:7">
      <c r="B61" s="191" t="s">
        <v>296</v>
      </c>
      <c r="C61" s="192">
        <v>252</v>
      </c>
      <c r="D61" s="196">
        <v>3</v>
      </c>
      <c r="E61" s="196">
        <v>12</v>
      </c>
      <c r="F61" s="196">
        <v>1</v>
      </c>
      <c r="G61" s="236">
        <f t="shared" ref="G61:G66" si="5">ROUND(C61*D61*E61*F61,2)</f>
        <v>9072</v>
      </c>
    </row>
    <row r="62" s="183" customFormat="1" ht="25.5" hidden="1" spans="2:7">
      <c r="B62" s="191" t="s">
        <v>296</v>
      </c>
      <c r="C62" s="192"/>
      <c r="D62" s="196"/>
      <c r="E62" s="196"/>
      <c r="F62" s="196"/>
      <c r="G62" s="236">
        <f t="shared" si="5"/>
        <v>0</v>
      </c>
    </row>
    <row r="63" s="183" customFormat="1" spans="2:9">
      <c r="B63" s="191" t="s">
        <v>297</v>
      </c>
      <c r="C63" s="192">
        <v>0.62</v>
      </c>
      <c r="D63" s="196">
        <v>621.72</v>
      </c>
      <c r="E63" s="196">
        <v>12</v>
      </c>
      <c r="F63" s="196">
        <v>1</v>
      </c>
      <c r="G63" s="237">
        <f t="shared" si="5"/>
        <v>4625.6</v>
      </c>
      <c r="H63" s="238"/>
      <c r="I63" s="238"/>
    </row>
    <row r="64" s="183" customFormat="1" spans="2:7">
      <c r="B64" s="191" t="s">
        <v>298</v>
      </c>
      <c r="C64" s="192">
        <v>2387.6</v>
      </c>
      <c r="D64" s="196">
        <v>2</v>
      </c>
      <c r="E64" s="196">
        <v>12</v>
      </c>
      <c r="F64" s="196">
        <v>1</v>
      </c>
      <c r="G64" s="236">
        <f t="shared" si="5"/>
        <v>57302.4</v>
      </c>
    </row>
    <row r="65" s="183" customFormat="1" hidden="1" spans="2:7">
      <c r="B65" s="191" t="s">
        <v>298</v>
      </c>
      <c r="C65" s="192"/>
      <c r="D65" s="196"/>
      <c r="E65" s="196">
        <v>12</v>
      </c>
      <c r="F65" s="196">
        <v>1</v>
      </c>
      <c r="G65" s="236">
        <f t="shared" si="5"/>
        <v>0</v>
      </c>
    </row>
    <row r="66" s="183" customFormat="1" hidden="1" spans="2:7">
      <c r="B66" s="191" t="s">
        <v>298</v>
      </c>
      <c r="C66" s="192"/>
      <c r="D66" s="196"/>
      <c r="E66" s="196">
        <v>12</v>
      </c>
      <c r="F66" s="196">
        <v>1</v>
      </c>
      <c r="G66" s="236">
        <f t="shared" si="5"/>
        <v>0</v>
      </c>
    </row>
    <row r="67" s="182" customFormat="1" spans="2:7">
      <c r="B67" s="191" t="s">
        <v>299</v>
      </c>
      <c r="C67" s="192"/>
      <c r="D67" s="193"/>
      <c r="E67" s="193"/>
      <c r="F67" s="193"/>
      <c r="G67" s="241">
        <f>SUM(G61:G66)</f>
        <v>71000</v>
      </c>
    </row>
    <row r="68" s="182" customFormat="1" ht="27" customHeight="1" spans="2:7">
      <c r="B68" s="242" t="s">
        <v>300</v>
      </c>
      <c r="C68" s="243"/>
      <c r="D68" s="244"/>
      <c r="E68" s="244"/>
      <c r="F68" s="244"/>
      <c r="G68" s="245">
        <f>ROUND(C68*D68*E68*F68,2)</f>
        <v>0</v>
      </c>
    </row>
    <row r="69" s="182" customFormat="1" spans="2:3">
      <c r="B69" s="181"/>
      <c r="C69" s="230"/>
    </row>
    <row r="70" spans="2:2">
      <c r="B70" s="120"/>
    </row>
    <row r="71" spans="2:2">
      <c r="B71" s="120"/>
    </row>
    <row r="73" ht="18.75" spans="2:5">
      <c r="B73" s="246" t="s">
        <v>301</v>
      </c>
      <c r="C73" s="247"/>
      <c r="D73" s="248"/>
      <c r="E73" s="249"/>
    </row>
    <row r="74" ht="45" spans="2:5">
      <c r="B74" s="250" t="s">
        <v>78</v>
      </c>
      <c r="C74" s="251" t="s">
        <v>263</v>
      </c>
      <c r="D74" s="252" t="s">
        <v>262</v>
      </c>
      <c r="E74" s="250" t="s">
        <v>302</v>
      </c>
    </row>
    <row r="75" ht="15" spans="2:5">
      <c r="B75" s="253" t="s">
        <v>303</v>
      </c>
      <c r="C75" s="254">
        <v>635</v>
      </c>
      <c r="D75" s="255">
        <v>180</v>
      </c>
      <c r="E75" s="223">
        <f t="shared" ref="E75:E82" si="6">C75*D75</f>
        <v>114300</v>
      </c>
    </row>
    <row r="76" ht="15" hidden="1" spans="2:5">
      <c r="B76" s="253"/>
      <c r="C76" s="254"/>
      <c r="D76" s="256"/>
      <c r="E76" s="223">
        <f t="shared" si="6"/>
        <v>0</v>
      </c>
    </row>
    <row r="77" ht="15" hidden="1" spans="2:5">
      <c r="B77" s="256"/>
      <c r="C77" s="254"/>
      <c r="D77" s="256"/>
      <c r="E77" s="223">
        <f t="shared" si="6"/>
        <v>0</v>
      </c>
    </row>
    <row r="78" ht="15" hidden="1" spans="2:5">
      <c r="B78" s="256"/>
      <c r="C78" s="254"/>
      <c r="D78" s="256"/>
      <c r="E78" s="223">
        <f t="shared" si="6"/>
        <v>0</v>
      </c>
    </row>
    <row r="79" ht="15" hidden="1" spans="2:5">
      <c r="B79" s="256"/>
      <c r="C79" s="254"/>
      <c r="D79" s="256"/>
      <c r="E79" s="223">
        <f t="shared" si="6"/>
        <v>0</v>
      </c>
    </row>
    <row r="80" ht="15" hidden="1" spans="2:5">
      <c r="B80" s="256"/>
      <c r="C80" s="254"/>
      <c r="D80" s="256"/>
      <c r="E80" s="223">
        <f t="shared" si="6"/>
        <v>0</v>
      </c>
    </row>
    <row r="81" ht="15" hidden="1" spans="2:5">
      <c r="B81" s="256"/>
      <c r="C81" s="254"/>
      <c r="D81" s="256"/>
      <c r="E81" s="223">
        <f t="shared" si="6"/>
        <v>0</v>
      </c>
    </row>
    <row r="82" ht="15" hidden="1" spans="2:5">
      <c r="B82" s="256"/>
      <c r="C82" s="254"/>
      <c r="D82" s="256"/>
      <c r="E82" s="223">
        <f t="shared" si="6"/>
        <v>0</v>
      </c>
    </row>
    <row r="83" ht="14.25" spans="2:5">
      <c r="B83" s="257" t="s">
        <v>230</v>
      </c>
      <c r="C83" s="258"/>
      <c r="D83" s="257"/>
      <c r="E83" s="223">
        <f>ROUND(SUM(E75:E82),2)</f>
        <v>114300</v>
      </c>
    </row>
    <row r="84" ht="14.25" spans="2:5">
      <c r="B84" s="259"/>
      <c r="C84" s="260"/>
      <c r="D84" s="259"/>
      <c r="E84" s="165"/>
    </row>
    <row r="85" ht="14.25" spans="2:5">
      <c r="B85" s="259"/>
      <c r="C85" s="260"/>
      <c r="D85" s="259"/>
      <c r="E85" s="165"/>
    </row>
    <row r="86" ht="18.75" spans="2:7">
      <c r="B86" s="88" t="s">
        <v>304</v>
      </c>
      <c r="C86" s="89"/>
      <c r="D86" s="89"/>
      <c r="E86" s="89"/>
      <c r="F86" s="89"/>
      <c r="G86" s="89"/>
    </row>
    <row r="87" ht="13.5"/>
    <row r="88" ht="25.5" spans="2:7">
      <c r="B88" s="168"/>
      <c r="C88" s="261" t="s">
        <v>262</v>
      </c>
      <c r="D88" s="126" t="s">
        <v>263</v>
      </c>
      <c r="E88" s="126" t="s">
        <v>222</v>
      </c>
      <c r="F88" s="91" t="s">
        <v>223</v>
      </c>
      <c r="G88" s="155" t="s">
        <v>264</v>
      </c>
    </row>
    <row r="89" spans="2:8">
      <c r="B89" s="262" t="s">
        <v>305</v>
      </c>
      <c r="C89" s="223"/>
      <c r="D89" s="170"/>
      <c r="E89" s="170"/>
      <c r="F89" s="170"/>
      <c r="G89" s="263">
        <f>SUM(G90:G93)</f>
        <v>129290</v>
      </c>
      <c r="H89" s="86" t="s">
        <v>306</v>
      </c>
    </row>
    <row r="90" spans="2:7">
      <c r="B90" s="180" t="s">
        <v>307</v>
      </c>
      <c r="C90" s="223">
        <v>1250</v>
      </c>
      <c r="D90" s="170">
        <v>81</v>
      </c>
      <c r="E90" s="170">
        <v>1</v>
      </c>
      <c r="F90" s="170">
        <v>1</v>
      </c>
      <c r="G90" s="264">
        <f t="shared" ref="G90:G105" si="7">ROUND(C90*D90*E90*F90,2)</f>
        <v>101250</v>
      </c>
    </row>
    <row r="91" spans="2:8">
      <c r="B91" s="180" t="s">
        <v>308</v>
      </c>
      <c r="C91" s="223">
        <v>1040</v>
      </c>
      <c r="D91" s="170">
        <v>7</v>
      </c>
      <c r="E91" s="170">
        <v>1</v>
      </c>
      <c r="F91" s="170">
        <v>1</v>
      </c>
      <c r="G91" s="264">
        <f t="shared" si="7"/>
        <v>7280</v>
      </c>
      <c r="H91" s="86" t="s">
        <v>306</v>
      </c>
    </row>
    <row r="92" spans="2:7">
      <c r="B92" s="180" t="s">
        <v>309</v>
      </c>
      <c r="C92" s="223">
        <v>180</v>
      </c>
      <c r="D92" s="170">
        <v>42</v>
      </c>
      <c r="E92" s="170">
        <v>1</v>
      </c>
      <c r="F92" s="170">
        <v>1</v>
      </c>
      <c r="G92" s="264">
        <f t="shared" si="7"/>
        <v>7560</v>
      </c>
    </row>
    <row r="93" spans="2:8">
      <c r="B93" s="180" t="s">
        <v>310</v>
      </c>
      <c r="C93" s="223">
        <v>150</v>
      </c>
      <c r="D93" s="170">
        <v>88</v>
      </c>
      <c r="E93" s="170">
        <v>1</v>
      </c>
      <c r="F93" s="170">
        <v>1</v>
      </c>
      <c r="G93" s="264">
        <f t="shared" si="7"/>
        <v>13200</v>
      </c>
      <c r="H93" s="86" t="s">
        <v>306</v>
      </c>
    </row>
    <row r="94" spans="2:7">
      <c r="B94" s="180"/>
      <c r="C94" s="223"/>
      <c r="D94" s="170"/>
      <c r="E94" s="170"/>
      <c r="F94" s="170"/>
      <c r="G94" s="264"/>
    </row>
    <row r="95" hidden="1" spans="2:8">
      <c r="B95" s="265" t="s">
        <v>311</v>
      </c>
      <c r="C95" s="266"/>
      <c r="D95" s="267"/>
      <c r="E95" s="267"/>
      <c r="F95" s="267"/>
      <c r="G95" s="268">
        <f>ROUND(C95*D95*E95*F95,2)</f>
        <v>0</v>
      </c>
      <c r="H95" s="86" t="s">
        <v>306</v>
      </c>
    </row>
    <row r="96" customHeight="1" spans="2:10">
      <c r="B96" s="265" t="s">
        <v>312</v>
      </c>
      <c r="C96" s="266">
        <v>4450</v>
      </c>
      <c r="D96" s="267">
        <v>1</v>
      </c>
      <c r="E96" s="267">
        <v>1</v>
      </c>
      <c r="F96" s="267">
        <v>1</v>
      </c>
      <c r="G96" s="268">
        <f t="shared" si="7"/>
        <v>4450</v>
      </c>
      <c r="H96" s="86" t="s">
        <v>306</v>
      </c>
      <c r="J96" s="154"/>
    </row>
    <row r="97" hidden="1" spans="2:7">
      <c r="B97" s="265" t="s">
        <v>313</v>
      </c>
      <c r="C97" s="266"/>
      <c r="D97" s="267"/>
      <c r="E97" s="267"/>
      <c r="F97" s="267"/>
      <c r="G97" s="268">
        <f t="shared" si="7"/>
        <v>0</v>
      </c>
    </row>
    <row r="98" hidden="1" spans="2:7">
      <c r="B98" s="265" t="s">
        <v>314</v>
      </c>
      <c r="C98" s="266"/>
      <c r="D98" s="267"/>
      <c r="E98" s="267"/>
      <c r="F98" s="267"/>
      <c r="G98" s="268">
        <f t="shared" si="7"/>
        <v>0</v>
      </c>
    </row>
    <row r="99" ht="25.5" spans="2:7">
      <c r="B99" s="265" t="s">
        <v>315</v>
      </c>
      <c r="C99" s="266">
        <v>75688</v>
      </c>
      <c r="D99" s="267">
        <v>1</v>
      </c>
      <c r="E99" s="267">
        <v>1</v>
      </c>
      <c r="F99" s="267">
        <v>1</v>
      </c>
      <c r="G99" s="268">
        <f t="shared" si="7"/>
        <v>75688</v>
      </c>
    </row>
    <row r="100" ht="25.5" spans="2:8">
      <c r="B100" s="265" t="s">
        <v>316</v>
      </c>
      <c r="C100" s="266">
        <v>1313847</v>
      </c>
      <c r="D100" s="267">
        <v>1</v>
      </c>
      <c r="E100" s="267">
        <v>1</v>
      </c>
      <c r="F100" s="267">
        <v>1</v>
      </c>
      <c r="G100" s="268">
        <f t="shared" si="7"/>
        <v>1313847</v>
      </c>
      <c r="H100" s="86" t="s">
        <v>306</v>
      </c>
    </row>
    <row r="101" customHeight="1" spans="2:8">
      <c r="B101" s="180" t="s">
        <v>317</v>
      </c>
      <c r="C101" s="223">
        <v>100</v>
      </c>
      <c r="D101" s="170">
        <v>8748</v>
      </c>
      <c r="E101" s="170">
        <v>1</v>
      </c>
      <c r="F101" s="170">
        <v>1</v>
      </c>
      <c r="G101" s="264">
        <f t="shared" si="7"/>
        <v>874800</v>
      </c>
      <c r="H101" s="86" t="s">
        <v>306</v>
      </c>
    </row>
    <row r="102" customHeight="1" spans="2:8">
      <c r="B102" s="269"/>
      <c r="C102" s="223"/>
      <c r="D102" s="170"/>
      <c r="E102" s="170"/>
      <c r="F102" s="170"/>
      <c r="G102" s="270">
        <f t="shared" si="7"/>
        <v>0</v>
      </c>
      <c r="H102" s="86" t="s">
        <v>306</v>
      </c>
    </row>
    <row r="103" customHeight="1" spans="2:7">
      <c r="B103" s="271"/>
      <c r="C103" s="272"/>
      <c r="D103" s="273"/>
      <c r="E103" s="170"/>
      <c r="F103" s="273"/>
      <c r="G103" s="270">
        <f t="shared" si="7"/>
        <v>0</v>
      </c>
    </row>
    <row r="104" customHeight="1" spans="2:7">
      <c r="B104" s="271"/>
      <c r="C104" s="272"/>
      <c r="D104" s="273"/>
      <c r="E104" s="170"/>
      <c r="F104" s="273"/>
      <c r="G104" s="270">
        <f t="shared" si="7"/>
        <v>0</v>
      </c>
    </row>
    <row r="105" spans="2:8">
      <c r="B105" s="271"/>
      <c r="C105" s="272"/>
      <c r="D105" s="273"/>
      <c r="E105" s="273"/>
      <c r="F105" s="273"/>
      <c r="G105" s="270">
        <f t="shared" si="7"/>
        <v>0</v>
      </c>
      <c r="H105" s="86" t="s">
        <v>306</v>
      </c>
    </row>
    <row r="106" ht="13.5" spans="2:7">
      <c r="B106" s="274" t="s">
        <v>318</v>
      </c>
      <c r="C106" s="275"/>
      <c r="D106" s="103"/>
      <c r="E106" s="103"/>
      <c r="F106" s="103"/>
      <c r="G106" s="276">
        <f>C106</f>
        <v>0</v>
      </c>
    </row>
    <row r="107" spans="7:9">
      <c r="G107" s="77"/>
      <c r="I107" s="278"/>
    </row>
    <row r="109" s="7" customFormat="1" spans="2:83">
      <c r="B109" s="116" t="s">
        <v>246</v>
      </c>
      <c r="C109" s="277"/>
      <c r="D109" s="118"/>
      <c r="E109" s="77" t="s">
        <v>247</v>
      </c>
      <c r="F109" s="11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</row>
    <row r="110" s="7" customFormat="1" spans="3:83">
      <c r="C110" s="18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</row>
    <row r="111" s="7" customFormat="1" spans="3:83">
      <c r="C111" s="18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</row>
    <row r="112" s="7" customFormat="1" spans="2:83">
      <c r="B112" s="86" t="s">
        <v>249</v>
      </c>
      <c r="C112" s="277"/>
      <c r="D112" s="117"/>
      <c r="E112" s="77" t="s">
        <v>250</v>
      </c>
      <c r="F112" s="119" t="s">
        <v>181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</row>
    <row r="113" s="7" customFormat="1" spans="3:83">
      <c r="C113" s="18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</row>
  </sheetData>
  <mergeCells count="6">
    <mergeCell ref="F1:G1"/>
    <mergeCell ref="B2:G2"/>
    <mergeCell ref="B58:G58"/>
    <mergeCell ref="B86:G86"/>
    <mergeCell ref="B30:B32"/>
    <mergeCell ref="B33:B36"/>
  </mergeCells>
  <pageMargins left="0" right="0" top="0.748031496062992" bottom="0.748031496062992" header="0.31496062992126" footer="0.31496062992126"/>
  <pageSetup paperSize="9" scale="93" orientation="portrait"/>
  <headerFooter/>
  <rowBreaks count="1" manualBreakCount="1">
    <brk id="6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D39"/>
  <sheetViews>
    <sheetView workbookViewId="0">
      <selection activeCell="G25" sqref="G25"/>
    </sheetView>
  </sheetViews>
  <sheetFormatPr defaultColWidth="9.14285714285714" defaultRowHeight="12.75"/>
  <cols>
    <col min="1" max="1" width="23.4285714285714" style="86" customWidth="1"/>
    <col min="2" max="2" width="16.8571428571429" style="86" customWidth="1"/>
    <col min="3" max="3" width="12.8571428571429" style="86" customWidth="1"/>
    <col min="4" max="4" width="14.5714285714286" style="86" customWidth="1"/>
    <col min="5" max="5" width="13" style="86" customWidth="1"/>
    <col min="6" max="6" width="12" style="86" customWidth="1"/>
    <col min="7" max="16384" width="9.14285714285714" style="86"/>
  </cols>
  <sheetData>
    <row r="1" spans="5:6">
      <c r="E1" s="77" t="s">
        <v>319</v>
      </c>
      <c r="F1" s="77"/>
    </row>
    <row r="2" ht="18.75" spans="1:6">
      <c r="A2" s="166" t="s">
        <v>320</v>
      </c>
      <c r="B2" s="166"/>
      <c r="C2" s="166"/>
      <c r="D2" s="166"/>
      <c r="E2" s="166"/>
      <c r="F2" s="166"/>
    </row>
    <row r="3" s="165" customFormat="1" spans="1:6">
      <c r="A3" s="167"/>
      <c r="B3" s="167"/>
      <c r="C3" s="167"/>
      <c r="D3" s="167"/>
      <c r="E3" s="167"/>
      <c r="F3" s="167"/>
    </row>
    <row r="4" ht="13.5" spans="1:6">
      <c r="A4" s="167"/>
      <c r="B4" s="167"/>
      <c r="C4" s="167"/>
      <c r="D4" s="167"/>
      <c r="E4" s="167"/>
      <c r="F4" s="167"/>
    </row>
    <row r="5" s="120" customFormat="1" ht="25.5" spans="1:6">
      <c r="A5" s="168"/>
      <c r="B5" s="126" t="s">
        <v>262</v>
      </c>
      <c r="C5" s="126" t="s">
        <v>263</v>
      </c>
      <c r="D5" s="126" t="s">
        <v>222</v>
      </c>
      <c r="E5" s="91" t="s">
        <v>223</v>
      </c>
      <c r="F5" s="155" t="s">
        <v>264</v>
      </c>
    </row>
    <row r="6" spans="1:6">
      <c r="A6" s="169" t="s">
        <v>321</v>
      </c>
      <c r="B6" s="170"/>
      <c r="C6" s="170"/>
      <c r="D6" s="170"/>
      <c r="E6" s="170">
        <v>1</v>
      </c>
      <c r="F6" s="171">
        <f>ROUND(B6*C6*D6*E6,2)</f>
        <v>0</v>
      </c>
    </row>
    <row r="7" spans="1:6">
      <c r="A7" s="169" t="s">
        <v>322</v>
      </c>
      <c r="B7" s="170"/>
      <c r="C7" s="170"/>
      <c r="D7" s="170"/>
      <c r="E7" s="170">
        <v>1</v>
      </c>
      <c r="F7" s="171">
        <f>ROUND(B7*C7*D7*E7,2)</f>
        <v>0</v>
      </c>
    </row>
    <row r="8" ht="13.5" spans="1:6">
      <c r="A8" s="172"/>
      <c r="B8" s="103"/>
      <c r="C8" s="103"/>
      <c r="D8" s="103"/>
      <c r="E8" s="103"/>
      <c r="F8" s="173"/>
    </row>
    <row r="9" ht="32.25" customHeight="1" spans="1:6">
      <c r="A9" s="166" t="s">
        <v>323</v>
      </c>
      <c r="B9" s="174"/>
      <c r="C9" s="174"/>
      <c r="D9" s="174"/>
      <c r="E9" s="174"/>
      <c r="F9" s="174"/>
    </row>
    <row r="10" ht="13.5" spans="1:1">
      <c r="A10" s="120"/>
    </row>
    <row r="11" ht="25.5" spans="1:6">
      <c r="A11" s="168"/>
      <c r="B11" s="126" t="s">
        <v>262</v>
      </c>
      <c r="C11" s="126" t="s">
        <v>263</v>
      </c>
      <c r="D11" s="126" t="s">
        <v>222</v>
      </c>
      <c r="E11" s="91" t="s">
        <v>223</v>
      </c>
      <c r="F11" s="155" t="s">
        <v>264</v>
      </c>
    </row>
    <row r="12" spans="1:6">
      <c r="A12" s="169" t="s">
        <v>324</v>
      </c>
      <c r="B12" s="170"/>
      <c r="C12" s="170"/>
      <c r="D12" s="170"/>
      <c r="E12" s="170">
        <v>1</v>
      </c>
      <c r="F12" s="171">
        <f>ROUND(B12*C12*D12*E12,2)</f>
        <v>0</v>
      </c>
    </row>
    <row r="13" spans="1:6">
      <c r="A13" s="169" t="s">
        <v>325</v>
      </c>
      <c r="B13" s="170"/>
      <c r="C13" s="170"/>
      <c r="D13" s="170"/>
      <c r="E13" s="170">
        <v>1</v>
      </c>
      <c r="F13" s="171">
        <f>ROUND(B13*C13*D13*E13,2)</f>
        <v>0</v>
      </c>
    </row>
    <row r="14" spans="1:6">
      <c r="A14" s="169" t="s">
        <v>326</v>
      </c>
      <c r="B14" s="170"/>
      <c r="C14" s="170"/>
      <c r="D14" s="170"/>
      <c r="E14" s="170">
        <v>1</v>
      </c>
      <c r="F14" s="171">
        <f>ROUND(B14*C14*D14*E14,2)</f>
        <v>0</v>
      </c>
    </row>
    <row r="15" ht="13.5" spans="1:6">
      <c r="A15" s="175" t="s">
        <v>299</v>
      </c>
      <c r="B15" s="103"/>
      <c r="C15" s="103"/>
      <c r="D15" s="103"/>
      <c r="E15" s="103"/>
      <c r="F15" s="173">
        <f>F12+F13+F14</f>
        <v>0</v>
      </c>
    </row>
    <row r="16" spans="1:1">
      <c r="A16" s="120"/>
    </row>
    <row r="17" spans="1:1">
      <c r="A17" s="120"/>
    </row>
    <row r="18" ht="37.5" customHeight="1" spans="1:6">
      <c r="A18" s="176" t="s">
        <v>327</v>
      </c>
      <c r="B18" s="177"/>
      <c r="C18" s="177"/>
      <c r="D18" s="177"/>
      <c r="E18" s="177"/>
      <c r="F18" s="178"/>
    </row>
    <row r="19" spans="1:1">
      <c r="A19" s="122"/>
    </row>
    <row r="20" ht="13.5" spans="1:1">
      <c r="A20" s="122"/>
    </row>
    <row r="21" ht="51" spans="1:6">
      <c r="A21" s="124"/>
      <c r="B21" s="126" t="s">
        <v>328</v>
      </c>
      <c r="C21" s="126" t="s">
        <v>329</v>
      </c>
      <c r="D21" s="126"/>
      <c r="E21" s="126"/>
      <c r="F21" s="155" t="s">
        <v>330</v>
      </c>
    </row>
    <row r="22" spans="1:6">
      <c r="A22" s="169" t="s">
        <v>331</v>
      </c>
      <c r="B22" s="170"/>
      <c r="C22" s="170">
        <v>1</v>
      </c>
      <c r="D22" s="170"/>
      <c r="E22" s="170"/>
      <c r="F22" s="171">
        <f>ROUND(B22*C22,2)</f>
        <v>0</v>
      </c>
    </row>
    <row r="23" ht="13.5" spans="1:6">
      <c r="A23" s="179"/>
      <c r="B23" s="103"/>
      <c r="C23" s="103"/>
      <c r="D23" s="103"/>
      <c r="E23" s="103"/>
      <c r="F23" s="173">
        <f>ROUND(B23*C23*D23*E23,2)</f>
        <v>0</v>
      </c>
    </row>
    <row r="26" ht="18.75" spans="1:6">
      <c r="A26" s="88" t="s">
        <v>332</v>
      </c>
      <c r="B26" s="89"/>
      <c r="C26" s="89"/>
      <c r="D26" s="89"/>
      <c r="E26" s="89"/>
      <c r="F26" s="89"/>
    </row>
    <row r="27" ht="13.5"/>
    <row r="28" ht="25.5" spans="1:6">
      <c r="A28" s="168"/>
      <c r="B28" s="126" t="s">
        <v>262</v>
      </c>
      <c r="C28" s="126" t="s">
        <v>263</v>
      </c>
      <c r="D28" s="126" t="s">
        <v>222</v>
      </c>
      <c r="E28" s="91" t="s">
        <v>223</v>
      </c>
      <c r="F28" s="155" t="s">
        <v>264</v>
      </c>
    </row>
    <row r="29" spans="1:6">
      <c r="A29" s="180"/>
      <c r="B29" s="170"/>
      <c r="C29" s="170"/>
      <c r="D29" s="170"/>
      <c r="E29" s="170"/>
      <c r="F29" s="171">
        <f>ROUND(B29*C29*D29*E29,2)</f>
        <v>0</v>
      </c>
    </row>
    <row r="30" spans="1:6">
      <c r="A30" s="180"/>
      <c r="B30" s="170"/>
      <c r="C30" s="170"/>
      <c r="D30" s="170"/>
      <c r="E30" s="170"/>
      <c r="F30" s="171">
        <f>ROUND(B30*C30*D30*E30,2)</f>
        <v>0</v>
      </c>
    </row>
    <row r="31" ht="13.5" spans="1:6">
      <c r="A31" s="175"/>
      <c r="B31" s="103"/>
      <c r="C31" s="103"/>
      <c r="D31" s="103"/>
      <c r="E31" s="103"/>
      <c r="F31" s="173">
        <f>ROUND(B31*C31*D31*E31,2)</f>
        <v>0</v>
      </c>
    </row>
    <row r="35" s="7" customFormat="1" spans="1:82">
      <c r="A35" s="116" t="s">
        <v>246</v>
      </c>
      <c r="B35" s="117"/>
      <c r="C35" s="118"/>
      <c r="D35" s="77" t="s">
        <v>247</v>
      </c>
      <c r="E35" s="11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="7" customFormat="1" spans="8:82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="7" customFormat="1" spans="8:82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="7" customFormat="1" spans="1:82">
      <c r="A38" s="86" t="s">
        <v>249</v>
      </c>
      <c r="B38" s="117"/>
      <c r="C38" s="117"/>
      <c r="D38" s="77" t="s">
        <v>250</v>
      </c>
      <c r="E38" s="11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="7" customFormat="1" spans="7:82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</sheetData>
  <mergeCells count="5">
    <mergeCell ref="E1:F1"/>
    <mergeCell ref="A2:F2"/>
    <mergeCell ref="A9:F9"/>
    <mergeCell ref="A18:F18"/>
    <mergeCell ref="A26:F26"/>
  </mergeCells>
  <pageMargins left="0" right="0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D31"/>
  <sheetViews>
    <sheetView view="pageBreakPreview" zoomScaleNormal="100" workbookViewId="0">
      <selection activeCell="H16" sqref="H16:H19"/>
    </sheetView>
  </sheetViews>
  <sheetFormatPr defaultColWidth="9.14285714285714" defaultRowHeight="12.75"/>
  <cols>
    <col min="1" max="1" width="3.14285714285714" style="86" customWidth="1"/>
    <col min="2" max="2" width="27.7142857142857" style="122" customWidth="1"/>
    <col min="3" max="3" width="10.8571428571429" style="122" customWidth="1"/>
    <col min="4" max="4" width="13.4285714285714" style="86" customWidth="1"/>
    <col min="5" max="5" width="13.5714285714286" style="86" customWidth="1"/>
    <col min="6" max="6" width="10.2857142857143" style="86" customWidth="1"/>
    <col min="7" max="7" width="15.4285714285714" style="86" customWidth="1"/>
    <col min="8" max="8" width="10.2857142857143" style="86" customWidth="1"/>
    <col min="9" max="9" width="13" style="86" customWidth="1"/>
    <col min="10" max="10" width="11.7142857142857" style="86" customWidth="1"/>
    <col min="11" max="11" width="14.7142857142857" style="86" customWidth="1"/>
    <col min="12" max="12" width="15.8571428571429" style="86" customWidth="1"/>
    <col min="13" max="16384" width="9.14285714285714" style="86"/>
  </cols>
  <sheetData>
    <row r="1" spans="7:7">
      <c r="G1" s="77"/>
    </row>
    <row r="2" ht="15" spans="2:7">
      <c r="B2" s="123" t="s">
        <v>333</v>
      </c>
      <c r="C2" s="123"/>
      <c r="D2" s="123"/>
      <c r="E2" s="123"/>
      <c r="F2" s="123"/>
      <c r="G2" s="123"/>
    </row>
    <row r="4" ht="13.5"/>
    <row r="5" s="120" customFormat="1" ht="84.75" customHeight="1" spans="2:9">
      <c r="B5" s="124"/>
      <c r="C5" s="125" t="s">
        <v>334</v>
      </c>
      <c r="D5" s="126" t="s">
        <v>329</v>
      </c>
      <c r="E5" s="126" t="s">
        <v>335</v>
      </c>
      <c r="F5" s="127" t="s">
        <v>223</v>
      </c>
      <c r="G5" s="126" t="s">
        <v>336</v>
      </c>
      <c r="H5" s="127" t="s">
        <v>337</v>
      </c>
      <c r="I5" s="155" t="s">
        <v>336</v>
      </c>
    </row>
    <row r="6" spans="2:12">
      <c r="B6" s="128" t="s">
        <v>338</v>
      </c>
      <c r="C6" s="129" t="s">
        <v>339</v>
      </c>
      <c r="D6" s="130">
        <v>1708.5</v>
      </c>
      <c r="E6" s="130">
        <v>25.72</v>
      </c>
      <c r="F6" s="131">
        <v>1</v>
      </c>
      <c r="G6" s="132">
        <f>ROUND(D6*E6*F6,2)</f>
        <v>43942.62</v>
      </c>
      <c r="H6" s="131">
        <v>1</v>
      </c>
      <c r="I6" s="156">
        <f>ROUND(G6*H6,2)</f>
        <v>43942.62</v>
      </c>
      <c r="J6" s="157"/>
      <c r="K6" s="158"/>
      <c r="L6" s="159"/>
    </row>
    <row r="7" spans="2:12">
      <c r="B7" s="128" t="s">
        <v>338</v>
      </c>
      <c r="C7" s="129" t="s">
        <v>339</v>
      </c>
      <c r="D7" s="130">
        <v>911.6</v>
      </c>
      <c r="E7" s="130">
        <v>26.34</v>
      </c>
      <c r="F7" s="131">
        <v>1</v>
      </c>
      <c r="G7" s="132">
        <f>ROUND(D7*E7*F7,2)</f>
        <v>24011.54</v>
      </c>
      <c r="H7" s="131">
        <v>1</v>
      </c>
      <c r="I7" s="160">
        <f>ROUND(G7*H7,2)</f>
        <v>24011.54</v>
      </c>
      <c r="J7" s="161"/>
      <c r="K7" s="158"/>
      <c r="L7" s="159"/>
    </row>
    <row r="8" ht="13.5" hidden="1" customHeight="1" spans="2:12">
      <c r="B8" s="128" t="s">
        <v>338</v>
      </c>
      <c r="C8" s="129" t="s">
        <v>339</v>
      </c>
      <c r="D8" s="130"/>
      <c r="E8" s="130"/>
      <c r="F8" s="131">
        <v>1</v>
      </c>
      <c r="G8" s="132">
        <f t="shared" ref="G8:G9" si="0">ROUND(D8*E8*F8,2)</f>
        <v>0</v>
      </c>
      <c r="H8" s="131">
        <v>1</v>
      </c>
      <c r="I8" s="160">
        <f t="shared" ref="I8:I22" si="1">ROUND(G8*H8,2)</f>
        <v>0</v>
      </c>
      <c r="J8" s="161"/>
      <c r="K8" s="158"/>
      <c r="L8" s="159"/>
    </row>
    <row r="9" spans="2:12">
      <c r="B9" s="128" t="s">
        <v>340</v>
      </c>
      <c r="C9" s="129" t="s">
        <v>339</v>
      </c>
      <c r="D9" s="133">
        <v>2896.5</v>
      </c>
      <c r="E9" s="130">
        <v>16.9</v>
      </c>
      <c r="F9" s="131">
        <v>1</v>
      </c>
      <c r="G9" s="132">
        <f t="shared" si="0"/>
        <v>48950.85</v>
      </c>
      <c r="H9" s="131">
        <v>1</v>
      </c>
      <c r="I9" s="160">
        <f t="shared" si="1"/>
        <v>48950.85</v>
      </c>
      <c r="J9" s="161"/>
      <c r="K9" s="158"/>
      <c r="L9" s="159"/>
    </row>
    <row r="10" spans="2:12">
      <c r="B10" s="128" t="s">
        <v>340</v>
      </c>
      <c r="C10" s="129" t="s">
        <v>339</v>
      </c>
      <c r="D10" s="133">
        <v>2079.7</v>
      </c>
      <c r="E10" s="130">
        <v>17.32</v>
      </c>
      <c r="F10" s="131">
        <v>1</v>
      </c>
      <c r="G10" s="132">
        <f>D10*E10*F10</f>
        <v>36020.404</v>
      </c>
      <c r="H10" s="131">
        <v>1</v>
      </c>
      <c r="I10" s="160">
        <f t="shared" si="1"/>
        <v>36020.4</v>
      </c>
      <c r="J10" s="161"/>
      <c r="K10" s="158"/>
      <c r="L10" s="159"/>
    </row>
    <row r="11" hidden="1" customHeight="1" spans="2:12">
      <c r="B11" s="128" t="s">
        <v>340</v>
      </c>
      <c r="C11" s="129" t="s">
        <v>339</v>
      </c>
      <c r="D11" s="130"/>
      <c r="E11" s="130"/>
      <c r="F11" s="131">
        <v>1</v>
      </c>
      <c r="G11" s="134">
        <f>ROUND(D11*E11*F11,2)</f>
        <v>0</v>
      </c>
      <c r="H11" s="131">
        <v>1</v>
      </c>
      <c r="I11" s="160">
        <f t="shared" si="1"/>
        <v>0</v>
      </c>
      <c r="J11" s="161"/>
      <c r="K11" s="158"/>
      <c r="L11" s="159"/>
    </row>
    <row r="12" s="121" customFormat="1" spans="2:12">
      <c r="B12" s="135" t="s">
        <v>341</v>
      </c>
      <c r="C12" s="136" t="s">
        <v>339</v>
      </c>
      <c r="D12" s="133">
        <v>1114.86</v>
      </c>
      <c r="E12" s="130">
        <v>25.72</v>
      </c>
      <c r="F12" s="137">
        <v>1</v>
      </c>
      <c r="G12" s="134">
        <f>ROUND(D12*E12,2)</f>
        <v>28674.2</v>
      </c>
      <c r="H12" s="137">
        <v>1</v>
      </c>
      <c r="I12" s="160">
        <f t="shared" si="1"/>
        <v>28674.2</v>
      </c>
      <c r="J12" s="161"/>
      <c r="K12" s="158"/>
      <c r="L12" s="159"/>
    </row>
    <row r="13" s="121" customFormat="1" customHeight="1" spans="2:12">
      <c r="B13" s="135" t="s">
        <v>341</v>
      </c>
      <c r="C13" s="136" t="s">
        <v>339</v>
      </c>
      <c r="D13" s="133">
        <v>280.28</v>
      </c>
      <c r="E13" s="130">
        <v>36</v>
      </c>
      <c r="F13" s="137">
        <v>1</v>
      </c>
      <c r="G13" s="134">
        <f>ROUND(D13*E13*F13,2)</f>
        <v>10090.08</v>
      </c>
      <c r="H13" s="137">
        <v>1</v>
      </c>
      <c r="I13" s="160">
        <f t="shared" si="1"/>
        <v>10090.08</v>
      </c>
      <c r="J13" s="161"/>
      <c r="K13" s="158"/>
      <c r="L13" s="159"/>
    </row>
    <row r="14" s="121" customFormat="1" customHeight="1" spans="2:12">
      <c r="B14" s="135" t="s">
        <v>341</v>
      </c>
      <c r="C14" s="136" t="s">
        <v>339</v>
      </c>
      <c r="D14" s="133">
        <v>146.02</v>
      </c>
      <c r="E14" s="130">
        <v>37.44</v>
      </c>
      <c r="F14" s="137">
        <v>1</v>
      </c>
      <c r="G14" s="134">
        <f>ROUND(D14*E14*F14,2)</f>
        <v>5466.99</v>
      </c>
      <c r="H14" s="137">
        <v>1</v>
      </c>
      <c r="I14" s="160">
        <f t="shared" si="1"/>
        <v>5466.99</v>
      </c>
      <c r="J14" s="161"/>
      <c r="K14" s="158"/>
      <c r="L14" s="159"/>
    </row>
    <row r="15" s="121" customFormat="1" ht="28.5" customHeight="1" spans="2:12">
      <c r="B15" s="128" t="s">
        <v>342</v>
      </c>
      <c r="C15" s="136" t="s">
        <v>343</v>
      </c>
      <c r="D15" s="133">
        <f>5.525+194.758</f>
        <v>200.283</v>
      </c>
      <c r="E15" s="130">
        <v>1760.99</v>
      </c>
      <c r="F15" s="137">
        <v>1</v>
      </c>
      <c r="G15" s="134">
        <f>D15*E15*F15</f>
        <v>352696.36017</v>
      </c>
      <c r="H15" s="137">
        <v>1</v>
      </c>
      <c r="I15" s="160">
        <f t="shared" si="1"/>
        <v>352696.36</v>
      </c>
      <c r="J15" s="157"/>
      <c r="K15" s="158"/>
      <c r="L15" s="159"/>
    </row>
    <row r="16" s="121" customFormat="1" ht="25.5" spans="2:12">
      <c r="B16" s="128" t="s">
        <v>342</v>
      </c>
      <c r="C16" s="136" t="s">
        <v>343</v>
      </c>
      <c r="D16" s="138">
        <f>6.37</f>
        <v>6.37</v>
      </c>
      <c r="E16" s="130">
        <v>1821.88</v>
      </c>
      <c r="F16" s="137">
        <v>1</v>
      </c>
      <c r="G16" s="134">
        <f>D16*E16*F16</f>
        <v>11605.3756</v>
      </c>
      <c r="H16" s="137">
        <v>1</v>
      </c>
      <c r="I16" s="160">
        <f t="shared" si="1"/>
        <v>11605.38</v>
      </c>
      <c r="J16" s="161"/>
      <c r="K16" s="158"/>
      <c r="L16" s="159"/>
    </row>
    <row r="17" s="121" customFormat="1" spans="2:12">
      <c r="B17" s="135" t="s">
        <v>344</v>
      </c>
      <c r="C17" s="139" t="s">
        <v>343</v>
      </c>
      <c r="D17" s="138">
        <v>495.329</v>
      </c>
      <c r="E17" s="130">
        <v>1760.99</v>
      </c>
      <c r="F17" s="137">
        <v>1</v>
      </c>
      <c r="G17" s="134">
        <f t="shared" ref="G17:G23" si="2">ROUND(D17*E17*F17,2)</f>
        <v>872269.42</v>
      </c>
      <c r="H17" s="137">
        <v>1</v>
      </c>
      <c r="I17" s="160">
        <f t="shared" si="1"/>
        <v>872269.42</v>
      </c>
      <c r="J17" s="161"/>
      <c r="K17" s="158"/>
      <c r="L17" s="159"/>
    </row>
    <row r="18" s="121" customFormat="1" spans="2:12">
      <c r="B18" s="135" t="s">
        <v>344</v>
      </c>
      <c r="C18" s="139" t="s">
        <v>343</v>
      </c>
      <c r="D18" s="138">
        <v>183.775</v>
      </c>
      <c r="E18" s="130">
        <v>1821.88</v>
      </c>
      <c r="F18" s="137">
        <v>1</v>
      </c>
      <c r="G18" s="134">
        <f t="shared" si="2"/>
        <v>334816</v>
      </c>
      <c r="H18" s="137">
        <v>1</v>
      </c>
      <c r="I18" s="160">
        <f t="shared" si="1"/>
        <v>334816</v>
      </c>
      <c r="J18" s="161"/>
      <c r="K18" s="158"/>
      <c r="L18" s="159"/>
    </row>
    <row r="19" s="121" customFormat="1" spans="2:12">
      <c r="B19" s="135" t="s">
        <v>344</v>
      </c>
      <c r="C19" s="139" t="s">
        <v>343</v>
      </c>
      <c r="D19" s="138">
        <v>37.695</v>
      </c>
      <c r="E19" s="130">
        <v>1411.56</v>
      </c>
      <c r="F19" s="137">
        <v>1</v>
      </c>
      <c r="G19" s="134">
        <f t="shared" ref="G19" si="3">ROUND(D19*E19*F19,2)</f>
        <v>53208.75</v>
      </c>
      <c r="H19" s="137">
        <v>1</v>
      </c>
      <c r="I19" s="160">
        <f t="shared" si="1"/>
        <v>53208.75</v>
      </c>
      <c r="J19" s="161"/>
      <c r="K19" s="158"/>
      <c r="L19" s="159"/>
    </row>
    <row r="20" s="121" customFormat="1" spans="2:12">
      <c r="B20" s="135" t="s">
        <v>344</v>
      </c>
      <c r="C20" s="139" t="s">
        <v>343</v>
      </c>
      <c r="D20" s="138">
        <v>10.722</v>
      </c>
      <c r="E20" s="130">
        <v>1462.26</v>
      </c>
      <c r="F20" s="137">
        <v>1</v>
      </c>
      <c r="G20" s="134">
        <f t="shared" si="2"/>
        <v>15678.35</v>
      </c>
      <c r="H20" s="137">
        <v>1</v>
      </c>
      <c r="I20" s="160">
        <f t="shared" si="1"/>
        <v>15678.35</v>
      </c>
      <c r="J20" s="161"/>
      <c r="K20" s="158"/>
      <c r="L20" s="159"/>
    </row>
    <row r="21" s="121" customFormat="1" ht="13.5" spans="2:12">
      <c r="B21" s="140" t="s">
        <v>345</v>
      </c>
      <c r="C21" s="141" t="s">
        <v>346</v>
      </c>
      <c r="D21" s="142">
        <v>436421.06</v>
      </c>
      <c r="E21" s="143">
        <v>1</v>
      </c>
      <c r="F21" s="144">
        <v>1</v>
      </c>
      <c r="G21" s="145">
        <f t="shared" si="2"/>
        <v>436421.06</v>
      </c>
      <c r="H21" s="144">
        <v>1</v>
      </c>
      <c r="I21" s="162">
        <f t="shared" si="1"/>
        <v>436421.06</v>
      </c>
      <c r="J21" s="161"/>
      <c r="K21" s="158"/>
      <c r="L21" s="159"/>
    </row>
    <row r="22" s="121" customFormat="1" hidden="1" spans="2:12">
      <c r="B22" s="146" t="s">
        <v>345</v>
      </c>
      <c r="C22" s="147" t="s">
        <v>346</v>
      </c>
      <c r="D22" s="148"/>
      <c r="E22" s="149"/>
      <c r="F22" s="150">
        <v>1</v>
      </c>
      <c r="G22" s="151">
        <f t="shared" si="2"/>
        <v>0</v>
      </c>
      <c r="H22" s="150">
        <v>1</v>
      </c>
      <c r="I22" s="163">
        <f t="shared" si="1"/>
        <v>0</v>
      </c>
      <c r="J22" s="161"/>
      <c r="K22" s="158"/>
      <c r="L22" s="159"/>
    </row>
    <row r="23" s="121" customFormat="1" ht="13.5" hidden="1" spans="2:12">
      <c r="B23" s="140" t="s">
        <v>345</v>
      </c>
      <c r="C23" s="141" t="s">
        <v>346</v>
      </c>
      <c r="D23" s="152"/>
      <c r="E23" s="153"/>
      <c r="F23" s="144">
        <v>1</v>
      </c>
      <c r="G23" s="145">
        <f t="shared" si="2"/>
        <v>0</v>
      </c>
      <c r="H23" s="144">
        <v>1</v>
      </c>
      <c r="I23" s="162">
        <f t="shared" ref="I23" si="4">ROUND(G23*H23,2)</f>
        <v>0</v>
      </c>
      <c r="J23" s="161"/>
      <c r="K23" s="158"/>
      <c r="L23" s="159"/>
    </row>
    <row r="24" spans="4:12">
      <c r="D24" s="154"/>
      <c r="G24" s="154"/>
      <c r="I24" s="154"/>
      <c r="J24" s="161"/>
      <c r="K24" s="161"/>
      <c r="L24" s="161"/>
    </row>
    <row r="25" spans="4:12">
      <c r="D25" s="154"/>
      <c r="G25" s="154"/>
      <c r="J25" s="161"/>
      <c r="K25" s="164"/>
      <c r="L25" s="164"/>
    </row>
    <row r="26" spans="4:10">
      <c r="D26" s="154"/>
      <c r="I26" s="154"/>
      <c r="J26" s="154"/>
    </row>
    <row r="27" s="7" customFormat="1" spans="2:82">
      <c r="B27" s="116" t="s">
        <v>246</v>
      </c>
      <c r="C27" s="117"/>
      <c r="D27" s="118"/>
      <c r="E27" s="77" t="s">
        <v>247</v>
      </c>
      <c r="F27" s="11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="7" customFormat="1" spans="8:82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="7" customFormat="1" spans="8:82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="7" customFormat="1" spans="2:82">
      <c r="B30" s="86" t="s">
        <v>249</v>
      </c>
      <c r="C30" s="117"/>
      <c r="D30" s="117"/>
      <c r="E30" s="77" t="s">
        <v>250</v>
      </c>
      <c r="F30" s="119"/>
      <c r="H30" s="2"/>
      <c r="I30" s="2"/>
      <c r="J30" s="2"/>
      <c r="K30" s="8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="7" customFormat="1" spans="7:82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</sheetData>
  <mergeCells count="1">
    <mergeCell ref="B2:G2"/>
  </mergeCells>
  <pageMargins left="0" right="0" top="0.748031496062992" bottom="0.748031496062992" header="0.31496062992126" footer="0.31496062992126"/>
  <pageSetup paperSize="9" scale="83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E36"/>
  <sheetViews>
    <sheetView view="pageBreakPreview" zoomScaleNormal="100" workbookViewId="0">
      <selection activeCell="G30" sqref="G30"/>
    </sheetView>
  </sheetViews>
  <sheetFormatPr defaultColWidth="9.14285714285714" defaultRowHeight="12.75"/>
  <cols>
    <col min="1" max="1" width="0.142857142857143" style="86" customWidth="1"/>
    <col min="2" max="2" width="23" style="86" customWidth="1"/>
    <col min="3" max="3" width="15.7142857142857" style="86" customWidth="1"/>
    <col min="4" max="4" width="14.1428571428571" style="86" customWidth="1"/>
    <col min="5" max="5" width="16.7142857142857" style="86" customWidth="1"/>
    <col min="6" max="6" width="9.14285714285714" style="86"/>
    <col min="7" max="7" width="13.2857142857143" style="86" customWidth="1"/>
    <col min="8" max="16384" width="9.14285714285714" style="86"/>
  </cols>
  <sheetData>
    <row r="1" spans="6:7">
      <c r="F1" s="87" t="s">
        <v>347</v>
      </c>
      <c r="G1" s="87"/>
    </row>
    <row r="2" ht="25.5" customHeight="1" spans="2:5">
      <c r="B2" s="88" t="s">
        <v>348</v>
      </c>
      <c r="C2" s="77"/>
      <c r="D2" s="77"/>
      <c r="E2" s="77"/>
    </row>
    <row r="3" ht="18.75" spans="2:5">
      <c r="B3" s="89"/>
      <c r="C3" s="77"/>
      <c r="D3" s="77"/>
      <c r="E3" s="77"/>
    </row>
    <row r="4" ht="19.5" spans="2:5">
      <c r="B4" s="89"/>
      <c r="C4" s="77"/>
      <c r="D4" s="77"/>
      <c r="E4" s="77"/>
    </row>
    <row r="5" s="84" customFormat="1" ht="48" customHeight="1" spans="2:5">
      <c r="B5" s="90"/>
      <c r="C5" s="91" t="s">
        <v>349</v>
      </c>
      <c r="D5" s="92" t="s">
        <v>350</v>
      </c>
      <c r="E5" s="93" t="s">
        <v>348</v>
      </c>
    </row>
    <row r="6" ht="15" spans="2:5">
      <c r="B6" s="94" t="s">
        <v>351</v>
      </c>
      <c r="C6" s="95">
        <v>39766864</v>
      </c>
      <c r="D6" s="96">
        <v>0.022</v>
      </c>
      <c r="E6" s="97">
        <f>ROUND(C6*D6,0)</f>
        <v>874871</v>
      </c>
    </row>
    <row r="7" ht="15" spans="2:5">
      <c r="B7" s="94"/>
      <c r="C7" s="95"/>
      <c r="D7" s="96"/>
      <c r="E7" s="97"/>
    </row>
    <row r="8" ht="15" spans="2:5">
      <c r="B8" s="94" t="s">
        <v>352</v>
      </c>
      <c r="C8" s="95">
        <v>26695297.9</v>
      </c>
      <c r="D8" s="96">
        <v>0.015</v>
      </c>
      <c r="E8" s="97">
        <f>ROUND(C8*D8,0)</f>
        <v>400429</v>
      </c>
    </row>
    <row r="9" ht="15" spans="2:5">
      <c r="B9" s="98"/>
      <c r="C9" s="95"/>
      <c r="D9" s="96"/>
      <c r="E9" s="97"/>
    </row>
    <row r="10" ht="15" hidden="1" spans="2:5">
      <c r="B10" s="99" t="s">
        <v>353</v>
      </c>
      <c r="C10" s="100"/>
      <c r="D10" s="96"/>
      <c r="E10" s="97">
        <f>ROUND(C10*D10,2)</f>
        <v>0</v>
      </c>
    </row>
    <row r="11" ht="15" hidden="1" spans="2:5">
      <c r="B11" s="99" t="s">
        <v>354</v>
      </c>
      <c r="C11" s="100"/>
      <c r="D11" s="96"/>
      <c r="E11" s="97">
        <f>ROUND(C11*D11,2)</f>
        <v>0</v>
      </c>
    </row>
    <row r="12" ht="15.75" hidden="1" spans="2:5">
      <c r="B12" s="101" t="s">
        <v>355</v>
      </c>
      <c r="C12" s="102"/>
      <c r="D12" s="103">
        <v>1</v>
      </c>
      <c r="E12" s="104">
        <f>ROUND(C12*D12,2)</f>
        <v>0</v>
      </c>
    </row>
    <row r="15" hidden="1"/>
    <row r="16" s="85" customFormat="1" ht="15" hidden="1" spans="2:7">
      <c r="B16" s="105" t="s">
        <v>333</v>
      </c>
      <c r="C16" s="105"/>
      <c r="D16" s="105"/>
      <c r="E16" s="105"/>
      <c r="F16" s="105"/>
      <c r="G16" s="105"/>
    </row>
    <row r="17" s="85" customFormat="1" hidden="1"/>
    <row r="18" s="85" customFormat="1" ht="13.5" hidden="1"/>
    <row r="19" s="85" customFormat="1" ht="84" hidden="1" spans="2:7">
      <c r="B19" s="106"/>
      <c r="C19" s="107" t="s">
        <v>334</v>
      </c>
      <c r="D19" s="108" t="s">
        <v>329</v>
      </c>
      <c r="E19" s="108" t="s">
        <v>335</v>
      </c>
      <c r="F19" s="109" t="s">
        <v>356</v>
      </c>
      <c r="G19" s="110" t="s">
        <v>336</v>
      </c>
    </row>
    <row r="20" s="85" customFormat="1" hidden="1" spans="2:7">
      <c r="B20" s="111" t="s">
        <v>344</v>
      </c>
      <c r="C20" s="112" t="s">
        <v>343</v>
      </c>
      <c r="D20" s="113">
        <f>прил.5!D17</f>
        <v>495.329</v>
      </c>
      <c r="E20" s="113">
        <f>прил.5!E17</f>
        <v>1760.99</v>
      </c>
      <c r="F20" s="114">
        <v>0</v>
      </c>
      <c r="G20" s="115">
        <f>прил.5!G17-прил.5!I17</f>
        <v>0</v>
      </c>
    </row>
    <row r="21" s="85" customFormat="1" hidden="1" spans="2:7">
      <c r="B21" s="111" t="s">
        <v>344</v>
      </c>
      <c r="C21" s="112" t="s">
        <v>343</v>
      </c>
      <c r="D21" s="113">
        <f>прил.5!D18</f>
        <v>183.775</v>
      </c>
      <c r="E21" s="113">
        <f>прил.5!E18</f>
        <v>1821.88</v>
      </c>
      <c r="F21" s="114">
        <v>0</v>
      </c>
      <c r="G21" s="115">
        <f>прил.5!G18-прил.5!I18</f>
        <v>0</v>
      </c>
    </row>
    <row r="22" s="85" customFormat="1" hidden="1" spans="2:7">
      <c r="B22" s="111" t="s">
        <v>344</v>
      </c>
      <c r="C22" s="112" t="s">
        <v>343</v>
      </c>
      <c r="D22" s="113">
        <f>прил.5!D20</f>
        <v>10.722</v>
      </c>
      <c r="E22" s="113">
        <f>прил.5!E20</f>
        <v>1462.26</v>
      </c>
      <c r="F22" s="114">
        <v>0</v>
      </c>
      <c r="G22" s="115">
        <f>прил.5!G20-прил.5!I20</f>
        <v>0</v>
      </c>
    </row>
    <row r="23" s="85" customFormat="1" hidden="1" spans="2:7">
      <c r="B23" s="111" t="str">
        <f>прил.5!B21</f>
        <v>электрическая энергия </v>
      </c>
      <c r="C23" s="112" t="s">
        <v>346</v>
      </c>
      <c r="D23" s="113">
        <f>прил.5!D21</f>
        <v>436421.06</v>
      </c>
      <c r="E23" s="113">
        <f>прил.5!E21</f>
        <v>1</v>
      </c>
      <c r="F23" s="114">
        <v>0</v>
      </c>
      <c r="G23" s="115">
        <f>прил.5!G21-прил.5!I21</f>
        <v>0</v>
      </c>
    </row>
    <row r="24" s="85" customFormat="1" hidden="1" spans="2:7">
      <c r="B24" s="111" t="str">
        <f>прил.5!B22</f>
        <v>электрическая энергия </v>
      </c>
      <c r="C24" s="112" t="s">
        <v>346</v>
      </c>
      <c r="D24" s="113">
        <f>прил.5!D22</f>
        <v>0</v>
      </c>
      <c r="E24" s="113">
        <f>прил.5!E22</f>
        <v>0</v>
      </c>
      <c r="F24" s="114">
        <v>0</v>
      </c>
      <c r="G24" s="115">
        <f>прил.5!G22-прил.5!I22</f>
        <v>0</v>
      </c>
    </row>
    <row r="25" s="85" customFormat="1" hidden="1" spans="2:7">
      <c r="B25" s="111" t="e">
        <f>прил.5!#REF!</f>
        <v>#REF!</v>
      </c>
      <c r="C25" s="112" t="s">
        <v>346</v>
      </c>
      <c r="D25" s="113" t="e">
        <f>прил.5!#REF!</f>
        <v>#REF!</v>
      </c>
      <c r="E25" s="113" t="e">
        <f>прил.5!#REF!</f>
        <v>#REF!</v>
      </c>
      <c r="F25" s="114">
        <v>0.1</v>
      </c>
      <c r="G25" s="115" t="e">
        <f>прил.5!#REF!-прил.5!#REF!</f>
        <v>#REF!</v>
      </c>
    </row>
    <row r="26" s="85" customFormat="1" hidden="1" spans="2:7">
      <c r="B26" s="111" t="e">
        <f>прил.5!#REF!</f>
        <v>#REF!</v>
      </c>
      <c r="C26" s="112" t="s">
        <v>346</v>
      </c>
      <c r="D26" s="113" t="e">
        <f>прил.5!#REF!</f>
        <v>#REF!</v>
      </c>
      <c r="E26" s="113" t="e">
        <f>прил.5!#REF!</f>
        <v>#REF!</v>
      </c>
      <c r="F26" s="114">
        <v>0.1</v>
      </c>
      <c r="G26" s="115" t="e">
        <f>прил.5!#REF!-прил.5!#REF!</f>
        <v>#REF!</v>
      </c>
    </row>
    <row r="27" s="85" customFormat="1" hidden="1" spans="2:7">
      <c r="B27" s="111" t="str">
        <f>прил.5!B23</f>
        <v>электрическая энергия </v>
      </c>
      <c r="C27" s="112" t="s">
        <v>346</v>
      </c>
      <c r="D27" s="113">
        <f>прил.5!D23</f>
        <v>0</v>
      </c>
      <c r="E27" s="113">
        <f>прил.5!E23</f>
        <v>0</v>
      </c>
      <c r="F27" s="114">
        <v>0</v>
      </c>
      <c r="G27" s="115">
        <f>прил.5!G23-прил.5!I23</f>
        <v>0</v>
      </c>
    </row>
    <row r="32" s="7" customFormat="1" spans="2:83">
      <c r="B32" s="116" t="s">
        <v>246</v>
      </c>
      <c r="C32" s="117"/>
      <c r="D32" s="118"/>
      <c r="E32" s="77" t="s">
        <v>247</v>
      </c>
      <c r="F32" s="11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="7" customFormat="1" spans="9:83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="7" customFormat="1" spans="9:83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="7" customFormat="1" spans="2:83">
      <c r="B35" s="86" t="s">
        <v>249</v>
      </c>
      <c r="C35" s="117"/>
      <c r="D35" s="117"/>
      <c r="E35" s="77" t="s">
        <v>250</v>
      </c>
      <c r="F35" s="11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="7" customFormat="1" spans="8:83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</sheetData>
  <mergeCells count="3">
    <mergeCell ref="F1:G1"/>
    <mergeCell ref="B2:E2"/>
    <mergeCell ref="B16:G16"/>
  </mergeCells>
  <pageMargins left="0.7" right="0.7" top="0.75" bottom="0.75" header="0.3" footer="0.3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Управление образования города Пензы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мун.зад.</vt:lpstr>
      <vt:lpstr>проверка 2020</vt:lpstr>
      <vt:lpstr>проверка 2021 </vt:lpstr>
      <vt:lpstr>проверка2022</vt:lpstr>
      <vt:lpstr>прил.1+2</vt:lpstr>
      <vt:lpstr>прил.3</vt:lpstr>
      <vt:lpstr>прил.4</vt:lpstr>
      <vt:lpstr>прил.5</vt:lpstr>
      <vt:lpstr>прил.6</vt:lpstr>
      <vt:lpstr>свод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smetanina</dc:creator>
  <cp:lastModifiedBy>Администратор</cp:lastModifiedBy>
  <dcterms:created xsi:type="dcterms:W3CDTF">2015-12-22T12:42:00Z</dcterms:created>
  <cp:lastPrinted>2020-02-26T13:15:00Z</cp:lastPrinted>
  <dcterms:modified xsi:type="dcterms:W3CDTF">2021-02-11T07:03:23Z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